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8" firstSheet="6" activeTab="6"/>
  </bookViews>
  <sheets>
    <sheet name="Macro1" sheetId="5" state="hidden" r:id="rId1"/>
    <sheet name="YSHVOKK" sheetId="6" state="veryHidden" r:id="rId2"/>
    <sheet name="附件3 收入（部分锁定）" sheetId="22" state="hidden" r:id="rId3"/>
    <sheet name="附件1-2 分部门收入（锁定工作表）" sheetId="10" state="hidden" r:id="rId4"/>
    <sheet name="预算稳定调节基金计算 (2)" sheetId="21" state="hidden" r:id="rId5"/>
    <sheet name="税收预计情况（税收数据从此表引入）" sheetId="13" state="hidden" r:id="rId6"/>
    <sheet name="附件2基金收支（锁定）" sheetId="8" r:id="rId7"/>
    <sheet name="2020年政府性基金预计情况" sheetId="15" state="hidden" r:id="rId8"/>
    <sheet name="税收预测情况 " sheetId="12" state="hidden" r:id="rId9"/>
    <sheet name="2019年土地出让分成收支预计完成情况表" sheetId="16" state="hidden" r:id="rId10"/>
    <sheet name="备注" sheetId="18" state="hidden" r:id="rId11"/>
  </sheets>
  <definedNames>
    <definedName name="_xlnm.Print_Titles" localSheetId="7">'2020年政府性基金预计情况'!$1:$5</definedName>
    <definedName name="_xlnm.Print_Titles" localSheetId="2">'附件3 收入（部分锁定）'!$4:$4</definedName>
    <definedName name="_xlnm.Print_Titles" localSheetId="6">'附件2基金收支（锁定）'!$5:$5</definedName>
  </definedNames>
  <calcPr calcId="144525"/>
</workbook>
</file>

<file path=xl/comments1.xml><?xml version="1.0" encoding="utf-8"?>
<comments xmlns="http://schemas.openxmlformats.org/spreadsheetml/2006/main">
  <authors>
    <author>向盈</author>
  </authors>
  <commentList>
    <comment ref="F27" authorId="0">
      <text>
        <r>
          <rPr>
            <b/>
            <sz val="9"/>
            <rFont val="Tahoma"/>
            <charset val="134"/>
          </rPr>
          <t>1-11</t>
        </r>
        <r>
          <rPr>
            <b/>
            <sz val="9"/>
            <rFont val="宋体"/>
            <charset val="134"/>
          </rPr>
          <t>月专项转移支付收入</t>
        </r>
        <r>
          <rPr>
            <b/>
            <sz val="9"/>
            <rFont val="Tahoma"/>
            <charset val="134"/>
          </rPr>
          <t>160689.21</t>
        </r>
        <r>
          <rPr>
            <b/>
            <sz val="9"/>
            <rFont val="宋体"/>
            <charset val="134"/>
          </rPr>
          <t>万元，扣减</t>
        </r>
        <r>
          <rPr>
            <b/>
            <sz val="9"/>
            <rFont val="Tahoma"/>
            <charset val="134"/>
          </rPr>
          <t>4.3</t>
        </r>
        <r>
          <rPr>
            <b/>
            <sz val="9"/>
            <rFont val="宋体"/>
            <charset val="134"/>
          </rPr>
          <t>亿元财力下放。</t>
        </r>
      </text>
    </comment>
    <comment ref="F29" authorId="0">
      <text>
        <r>
          <rPr>
            <b/>
            <sz val="9"/>
            <rFont val="宋体"/>
            <charset val="134"/>
          </rPr>
          <t>年初预算</t>
        </r>
        <r>
          <rPr>
            <b/>
            <sz val="9"/>
            <rFont val="Tahoma"/>
            <charset val="134"/>
          </rPr>
          <t>225892+</t>
        </r>
        <r>
          <rPr>
            <b/>
            <sz val="9"/>
            <rFont val="宋体"/>
            <charset val="134"/>
          </rPr>
          <t>预算调整</t>
        </r>
        <r>
          <rPr>
            <b/>
            <sz val="9"/>
            <rFont val="Tahoma"/>
            <charset val="134"/>
          </rPr>
          <t>35000</t>
        </r>
        <r>
          <rPr>
            <b/>
            <sz val="9"/>
            <rFont val="宋体"/>
            <charset val="134"/>
          </rPr>
          <t>万元</t>
        </r>
      </text>
    </comment>
  </commentList>
</comments>
</file>

<file path=xl/comments2.xml><?xml version="1.0" encoding="utf-8"?>
<comments xmlns="http://schemas.openxmlformats.org/spreadsheetml/2006/main">
  <authors>
    <author>向盈</author>
  </authors>
  <commentList>
    <comment ref="C4" authorId="0">
      <text>
        <r>
          <rPr>
            <b/>
            <sz val="9"/>
            <rFont val="宋体"/>
            <charset val="134"/>
          </rPr>
          <t>原非税收入（两规收入）要上缴市财政，因此不体现</t>
        </r>
      </text>
    </comment>
    <comment ref="B23" authorId="0">
      <text>
        <r>
          <rPr>
            <b/>
            <sz val="9"/>
            <rFont val="宋体"/>
            <charset val="134"/>
          </rPr>
          <t>和决算核对</t>
        </r>
      </text>
    </comment>
  </commentList>
</comments>
</file>

<file path=xl/comments3.xml><?xml version="1.0" encoding="utf-8"?>
<comments xmlns="http://schemas.openxmlformats.org/spreadsheetml/2006/main">
  <authors>
    <author>向盈</author>
  </authors>
  <commentList>
    <comment ref="S4" authorId="0">
      <text>
        <r>
          <rPr>
            <b/>
            <sz val="9"/>
            <rFont val="宋体"/>
            <charset val="134"/>
          </rPr>
          <t>财委实际返拨</t>
        </r>
        <r>
          <rPr>
            <b/>
            <sz val="9"/>
            <rFont val="Tahoma"/>
            <charset val="134"/>
          </rPr>
          <t>4.88</t>
        </r>
        <r>
          <rPr>
            <b/>
            <sz val="9"/>
            <rFont val="宋体"/>
            <charset val="134"/>
          </rPr>
          <t>亿元，年初安排收入</t>
        </r>
        <r>
          <rPr>
            <b/>
            <sz val="9"/>
            <rFont val="Tahoma"/>
            <charset val="134"/>
          </rPr>
          <t>3.5</t>
        </r>
        <r>
          <rPr>
            <b/>
            <sz val="9"/>
            <rFont val="宋体"/>
            <charset val="134"/>
          </rPr>
          <t>亿元</t>
        </r>
      </text>
    </comment>
    <comment ref="D5" authorId="0">
      <text>
        <r>
          <rPr>
            <b/>
            <sz val="9"/>
            <rFont val="Tahoma"/>
            <charset val="134"/>
          </rPr>
          <t>11.20</t>
        </r>
        <r>
          <rPr>
            <b/>
            <sz val="9"/>
            <rFont val="宋体"/>
            <charset val="134"/>
          </rPr>
          <t>财委按照计划返拨</t>
        </r>
        <r>
          <rPr>
            <b/>
            <sz val="9"/>
            <rFont val="Tahoma"/>
            <charset val="134"/>
          </rPr>
          <t>4.88</t>
        </r>
        <r>
          <rPr>
            <b/>
            <sz val="9"/>
            <rFont val="宋体"/>
            <charset val="134"/>
          </rPr>
          <t>亿元</t>
        </r>
      </text>
    </comment>
    <comment ref="D13" authorId="0">
      <text>
        <r>
          <rPr>
            <b/>
            <sz val="9"/>
            <rFont val="Tahoma"/>
            <charset val="134"/>
          </rPr>
          <t>2017</t>
        </r>
        <r>
          <rPr>
            <b/>
            <sz val="9"/>
            <rFont val="宋体"/>
            <charset val="134"/>
          </rPr>
          <t>年实际结余数</t>
        </r>
      </text>
    </comment>
  </commentList>
</comments>
</file>

<file path=xl/sharedStrings.xml><?xml version="1.0" encoding="utf-8"?>
<sst xmlns="http://schemas.openxmlformats.org/spreadsheetml/2006/main" count="574" uniqueCount="447">
  <si>
    <t>附件3</t>
  </si>
  <si>
    <t>大鹏新区2020年一般公共预算收入表（草案）</t>
  </si>
  <si>
    <t>单位：万元</t>
  </si>
  <si>
    <t>项    目</t>
  </si>
  <si>
    <t>2019年预算</t>
  </si>
  <si>
    <t>2019年调整预算</t>
  </si>
  <si>
    <t>2019年
预计完成数</t>
  </si>
  <si>
    <t>2018年        
预计完成数
（可比口径）</t>
  </si>
  <si>
    <t>2018年         预计完成数</t>
  </si>
  <si>
    <t>2020年预算</t>
  </si>
  <si>
    <t>2019年
预计完成数
（可比口径）</t>
  </si>
  <si>
    <t>2019年          预计完成数</t>
  </si>
  <si>
    <t>比2018年税务预计完成数%</t>
  </si>
  <si>
    <t>比2018年          预计完成数%</t>
  </si>
  <si>
    <t>比2019年
预计完成数%</t>
  </si>
  <si>
    <t>比2019年
预算数%</t>
  </si>
  <si>
    <t>比2018年          预计完成数%
（可比口径）</t>
  </si>
  <si>
    <t>备注</t>
  </si>
  <si>
    <t>一、一般公共预算收入</t>
  </si>
  <si>
    <t>（一）税收收入</t>
  </si>
  <si>
    <t>其中：增值税</t>
  </si>
  <si>
    <t>减税降费对2020年1-4月份的翘尾影响预计为2亿元；免抵调库预计减收8亿元。</t>
  </si>
  <si>
    <t xml:space="preserve">      企业所得税</t>
  </si>
  <si>
    <t>增收主要来自LNG接收站新增税收</t>
  </si>
  <si>
    <t xml:space="preserve">      个人所得税</t>
  </si>
  <si>
    <t xml:space="preserve">      城市维护建设税</t>
  </si>
  <si>
    <t>随增值税下降</t>
  </si>
  <si>
    <t xml:space="preserve">      房产税</t>
  </si>
  <si>
    <t xml:space="preserve">      印花税</t>
  </si>
  <si>
    <t xml:space="preserve">      城镇土地使用税</t>
  </si>
  <si>
    <t xml:space="preserve">      土地增值税</t>
  </si>
  <si>
    <t>2020年无大额清算项目</t>
  </si>
  <si>
    <t xml:space="preserve">      契税</t>
  </si>
  <si>
    <t>增收主要来自新区土地出让</t>
  </si>
  <si>
    <t xml:space="preserve">      其他税收收入</t>
  </si>
  <si>
    <t>（二）非税收入</t>
  </si>
  <si>
    <t>其中：专项收入</t>
  </si>
  <si>
    <t xml:space="preserve">      行政事业性收费收入</t>
  </si>
  <si>
    <t>预计剩余2个月收入100，主要是防空地下室易地建设费和垃圾处理费</t>
  </si>
  <si>
    <t xml:space="preserve">      罚没收入</t>
  </si>
  <si>
    <t>预计剩余2个月收入60，主要是消防罚款、安监执法罚款</t>
  </si>
  <si>
    <t xml:space="preserve">      国有资源（资产）有偿使用收入</t>
  </si>
  <si>
    <t>预计剩余2个月收入150+3835，主要是水资源费、利息收入</t>
  </si>
  <si>
    <t xml:space="preserve">      政府住房基金收入</t>
  </si>
  <si>
    <t>预计剩余2个月收入1600,主要是坝光安置房收入，公共租赁住房收入</t>
  </si>
  <si>
    <t xml:space="preserve">      其他收入</t>
  </si>
  <si>
    <t>预计剩余2个月收入500，主要是原水费、疫苗费、其他收入</t>
  </si>
  <si>
    <t>二、转移性收入</t>
  </si>
  <si>
    <t>其中：返还性收入</t>
  </si>
  <si>
    <t>根据市财政局提前告知，主要是税收返还收入</t>
  </si>
  <si>
    <t xml:space="preserve">      一般性转移支付收入</t>
  </si>
  <si>
    <t>1.2019年：预计一般性转移支付收入168,635万元，其中含政府投资财力下放资金6.8亿元。
2.2020年：根据市财政局提前告知，主要是生态转移支付10亿、体制结算定额补助335、基层经费补助300，大企业跨区迁移补助-442</t>
  </si>
  <si>
    <t xml:space="preserve">      专项转移支付收入</t>
  </si>
  <si>
    <t>2019年共下达上级转移支付指标19.8亿元（不含政府投资财力下放6.8亿元）。除专项审查专项安排指标13.25亿元之外，2019年共追加其他上级专项转移支付指标6.55亿元，主要包含市投区建项目约2.8亿元、用于教育方面的教育费附加、地方教育附加、土地出让计提的教育资金约2.2亿元等。
2020年：
（1）市级统筹基础设施项目库资金15亿元；
（2）根据市财政局提前告知，其他专项转移支付11013万元。</t>
  </si>
  <si>
    <t>较2019年提前下达，教育费附加减少3306，地方教育费附加减少772，优质饮用水入户减少2100，二次供水设施改造减少1000万元</t>
  </si>
  <si>
    <r>
      <rPr>
        <b/>
        <sz val="11"/>
        <rFont val="宋体"/>
        <charset val="134"/>
      </rPr>
      <t xml:space="preserve">     </t>
    </r>
    <r>
      <rPr>
        <sz val="11"/>
        <rFont val="宋体"/>
        <charset val="134"/>
      </rPr>
      <t>上年结余收入</t>
    </r>
  </si>
  <si>
    <t xml:space="preserve">      调入资金</t>
  </si>
  <si>
    <t>1.调入政府性基金3.3亿
2.盘活存量资金7730万元
3.调入预算稳定调节基金9.89亿
2019年年末预算稳定调节基金规模预计为12.23亿元。其中：
（1）2019年年初预算稳定调节基金10.52亿元；
（2）2019年预计补充预算稳定调节基金2.35亿元。主要为补助区支出1.7亿元及收回剩余指标0.65亿元。
2020年建议调入预算稳定调节基金9.2亿元，调入后预算稳定调节基金规模3亿元左右，（4.8%）不超过2020年本级一般公共预算支出总额的5%。</t>
  </si>
  <si>
    <t>三、地方政府债券收入</t>
  </si>
  <si>
    <t>经询问市财政局，待收到市提前下达通知后再行编入预算</t>
  </si>
  <si>
    <t>其中：一般债券收入</t>
  </si>
  <si>
    <t>财政收入总计</t>
  </si>
  <si>
    <t>大鹏新区2019年一般公共预算支出表（草案）</t>
  </si>
  <si>
    <t>2019年
预计完成</t>
  </si>
  <si>
    <t>2020年
预算</t>
  </si>
  <si>
    <t>一、部门预算支出</t>
  </si>
  <si>
    <t>财管科初步审核39亿</t>
  </si>
  <si>
    <t xml:space="preserve">    1.环境保护和污染防治支出</t>
  </si>
  <si>
    <t xml:space="preserve">         其中：节能减排支出</t>
  </si>
  <si>
    <t xml:space="preserve">    2.医疗卫生支出</t>
  </si>
  <si>
    <t xml:space="preserve">    3.教育事务支出</t>
  </si>
  <si>
    <t xml:space="preserve">    4.社会保障和就业支出</t>
  </si>
  <si>
    <t xml:space="preserve">    5.其他民生和社会事业发展支出</t>
  </si>
  <si>
    <t>需核实104894的具体科目</t>
  </si>
  <si>
    <t xml:space="preserve">         其中：民生微实事</t>
  </si>
  <si>
    <t xml:space="preserve">               水务治理</t>
  </si>
  <si>
    <t xml:space="preserve">               城管事务</t>
  </si>
  <si>
    <t xml:space="preserve">               大鹏半岛生态补助支出</t>
  </si>
  <si>
    <t xml:space="preserve">               基层政权建设及社会民生事业发展支出（含存量资金对应的项目支出）</t>
  </si>
  <si>
    <t xml:space="preserve">               上年结转支出</t>
  </si>
  <si>
    <t>二、基本建设支出</t>
  </si>
  <si>
    <t xml:space="preserve">    1.2019年新增政府投资项目支出</t>
  </si>
  <si>
    <t>含一般发债项目</t>
  </si>
  <si>
    <t>11.19根据投资科汇报修改</t>
  </si>
  <si>
    <t xml:space="preserve">    2.以前年度存量政府投资项目支出</t>
  </si>
  <si>
    <t>目前上报24173，建管费160</t>
  </si>
  <si>
    <t>11.18根据杨局指示修改</t>
  </si>
  <si>
    <t>三、大预算预留支出</t>
  </si>
  <si>
    <t xml:space="preserve">   1.基层政权建设及社会民生事业发展支出（含存量资金对应的项目支出）</t>
  </si>
  <si>
    <t xml:space="preserve">   2.上年结转支出</t>
  </si>
  <si>
    <t xml:space="preserve">   3.增人增资经费</t>
  </si>
  <si>
    <t>11.14根据杨局指示修改</t>
  </si>
  <si>
    <t>四、各项政策性支出</t>
  </si>
  <si>
    <t>11.15根据杨局指示修改</t>
  </si>
  <si>
    <t xml:space="preserve">   4.委托驻区单位工作经费</t>
  </si>
  <si>
    <t xml:space="preserve">   5.应急专项资金</t>
  </si>
  <si>
    <t xml:space="preserve">   6.国家赔偿准备金</t>
  </si>
  <si>
    <t>根据《中华人民共和国国家赔偿法》第三十七条　赔偿费用列入各级财政预算。</t>
  </si>
  <si>
    <t xml:space="preserve">   7.扫黑除恶专项资金</t>
  </si>
  <si>
    <t>按照扫黑除恶工作要求，安排专项资金</t>
  </si>
  <si>
    <t>五、支持经济和社会建设支出</t>
  </si>
  <si>
    <t xml:space="preserve">   1.住房保障支出</t>
  </si>
  <si>
    <t xml:space="preserve">   8.生态文明示范区建设支出（含渔排整治专项资金）</t>
  </si>
  <si>
    <t>渔排整治方案暂未确定，最快明年年中完成，最慢2022年2月。</t>
  </si>
  <si>
    <t xml:space="preserve">   4.产业发展支出</t>
  </si>
  <si>
    <t xml:space="preserve">   5.扶持社区经济发展支出</t>
  </si>
  <si>
    <t xml:space="preserve">   6.扶持重点企业专项资金</t>
  </si>
  <si>
    <t xml:space="preserve">   7.安全生产专项资金</t>
  </si>
  <si>
    <t xml:space="preserve">   9.欠薪周转金</t>
  </si>
  <si>
    <t xml:space="preserve">   10.新大集散中心运营补助</t>
  </si>
  <si>
    <t>深鹏管常纪〔2018〕6号 大鹏新区管委会二〇一八年第六次常务会议纪要</t>
  </si>
  <si>
    <t>六、基本建设支出</t>
  </si>
  <si>
    <t xml:space="preserve">   1.存量政府投资项目支出</t>
  </si>
  <si>
    <t xml:space="preserve">   2.年度新增政府投资项目支出</t>
  </si>
  <si>
    <t xml:space="preserve">   3.部门预算安排基建支出</t>
  </si>
  <si>
    <t xml:space="preserve">   11.预备费</t>
  </si>
  <si>
    <t>根据《预算法》，预备费按照“本级政府预算支出额的百分之一至百分之三”的比例预留。暂安排1.5亿元，按62亿初步测算</t>
  </si>
  <si>
    <t xml:space="preserve">   12.中心实验室</t>
  </si>
  <si>
    <t>跟领导确认是否要预留经费,向经服局了解，今年完工，明年可以移交，预计7亿</t>
  </si>
  <si>
    <t xml:space="preserve">   13.债务发行费用支出</t>
  </si>
  <si>
    <t>四、转移性支出</t>
  </si>
  <si>
    <t>增加机构改革上划经费7700万元，LNG税收上解增加2450万元</t>
  </si>
  <si>
    <t>11.19与财管科核对上划经费后调整</t>
  </si>
  <si>
    <t xml:space="preserve">   体制上解支出</t>
  </si>
  <si>
    <t>五、补充预算周转金</t>
  </si>
  <si>
    <t>预算周转金目前2.22亿元，应逐步达到本级预算的4%</t>
  </si>
  <si>
    <t xml:space="preserve">      一般公共预算支出总计</t>
  </si>
  <si>
    <t>财政支出总计</t>
  </si>
  <si>
    <t>附件1-2</t>
  </si>
  <si>
    <t xml:space="preserve"> 大鹏新区2019年一般公共预算收入预算表（草案，分征收部门）</t>
  </si>
  <si>
    <t>2018年</t>
  </si>
  <si>
    <t xml:space="preserve">2018年 </t>
  </si>
  <si>
    <t>2019年</t>
  </si>
  <si>
    <t>比2018年预计完成数%</t>
  </si>
  <si>
    <t>备    注</t>
  </si>
  <si>
    <t>年初预算</t>
  </si>
  <si>
    <t>预计完成数</t>
  </si>
  <si>
    <t>一、新区一般公共预算收入</t>
  </si>
  <si>
    <t>（一）税务部门收入计划</t>
  </si>
  <si>
    <t xml:space="preserve">    1.增值税</t>
  </si>
  <si>
    <t xml:space="preserve">    2.营业税</t>
  </si>
  <si>
    <t xml:space="preserve">    3.企业所得税</t>
  </si>
  <si>
    <t xml:space="preserve">    4.个人所得税</t>
  </si>
  <si>
    <t xml:space="preserve">    5.城市维护建设税</t>
  </si>
  <si>
    <t xml:space="preserve">    6.房产税</t>
  </si>
  <si>
    <t xml:space="preserve">    7.印花税</t>
  </si>
  <si>
    <t xml:space="preserve">    8.城镇土地使用税</t>
  </si>
  <si>
    <t xml:space="preserve">    9.土地增值税</t>
  </si>
  <si>
    <t xml:space="preserve">   10.契税</t>
  </si>
  <si>
    <t xml:space="preserve">   11.其他</t>
  </si>
  <si>
    <t>（二）财政部门收入计划</t>
  </si>
  <si>
    <t xml:space="preserve">    1.专项收入</t>
  </si>
  <si>
    <t xml:space="preserve">    2.行政事业性收费</t>
  </si>
  <si>
    <t xml:space="preserve">    3.罚没收入</t>
  </si>
  <si>
    <t xml:space="preserve">    4.国有资源（资产）有偿使用收入</t>
  </si>
  <si>
    <t xml:space="preserve">    5.政府住房基金收入</t>
  </si>
  <si>
    <t xml:space="preserve">    6.其他非税收入</t>
  </si>
  <si>
    <t>二、上年结转结余收入</t>
  </si>
  <si>
    <t>三、返还性收入</t>
  </si>
  <si>
    <t>四、一般性转移支付收入</t>
  </si>
  <si>
    <t>五、专项转移支付收入</t>
  </si>
  <si>
    <t>六、调入资金</t>
  </si>
  <si>
    <t>收入总计</t>
  </si>
  <si>
    <t xml:space="preserve"> </t>
  </si>
  <si>
    <t>预算稳定调节基金计算</t>
  </si>
  <si>
    <t>预算稳定调节基金实际数</t>
  </si>
  <si>
    <t>2019年年初预算稳定调节基金</t>
  </si>
  <si>
    <t>（1）年初预算稳定调节基金</t>
  </si>
  <si>
    <t>当年收支情况</t>
  </si>
  <si>
    <t>（2）财政总收入财力增收</t>
  </si>
  <si>
    <t>目前总收入</t>
  </si>
  <si>
    <t>（3）年度预算执行指标收回</t>
  </si>
  <si>
    <t>目前考核支出进度的支出总盘子</t>
  </si>
  <si>
    <t>（4）结转下年支出</t>
  </si>
  <si>
    <t xml:space="preserve"> 收支相抵差数分析：</t>
  </si>
  <si>
    <t>其中：1.超收收入</t>
  </si>
  <si>
    <t xml:space="preserve">        （1）税收减收</t>
  </si>
  <si>
    <t xml:space="preserve">        （2）非税超收</t>
  </si>
  <si>
    <t xml:space="preserve">        （3）上级转移支付-补助区支出超收</t>
  </si>
  <si>
    <t xml:space="preserve">      2.上解支出（不在考核盘子内）</t>
  </si>
  <si>
    <t xml:space="preserve">      3.预算周转金（不在考核盘子内）</t>
  </si>
  <si>
    <t xml:space="preserve">      4.尾数差异</t>
  </si>
  <si>
    <t>预计年终收支相抵结果：</t>
  </si>
  <si>
    <t>1.若65.5亿元全部花完，则收支相抵结果为</t>
  </si>
  <si>
    <t xml:space="preserve">   （1）剔除预计上解支出</t>
  </si>
  <si>
    <t xml:space="preserve">   （2）剔除预算周转金</t>
  </si>
  <si>
    <t xml:space="preserve">   （4）小计</t>
  </si>
  <si>
    <t>2.若65.5亿元花不完，则在上述结果中增加：</t>
  </si>
  <si>
    <t xml:space="preserve">   （1）待分配指标</t>
  </si>
  <si>
    <t xml:space="preserve">   （2）分配到部门花不完的钱</t>
  </si>
  <si>
    <t xml:space="preserve">   （3）小计</t>
  </si>
  <si>
    <t>扣除结转下年支出</t>
  </si>
  <si>
    <t>2019年年末预算稳定调节基金</t>
  </si>
  <si>
    <t>项目</t>
  </si>
  <si>
    <t>2019年
预算安排</t>
  </si>
  <si>
    <t>2019年全口径
预计完成数</t>
  </si>
  <si>
    <t>分成比例</t>
  </si>
  <si>
    <t>2019年区级分成
预计完成数</t>
  </si>
  <si>
    <t>税务局预计2020年
全口径税收</t>
  </si>
  <si>
    <t>2020年全口径
税收任务数</t>
  </si>
  <si>
    <t>根据税务局预计
2020年区级税收分成</t>
  </si>
  <si>
    <t>2020年区级税收
分成预算数</t>
  </si>
  <si>
    <t>比2019年
预计完成数</t>
  </si>
  <si>
    <t>一、税收收入合计</t>
  </si>
  <si>
    <t xml:space="preserve">      其中：先征后退</t>
  </si>
  <si>
    <t xml:space="preserve">            免抵调</t>
  </si>
  <si>
    <t xml:space="preserve">            改征增值税</t>
  </si>
  <si>
    <t xml:space="preserve">            一般增值税</t>
  </si>
  <si>
    <t xml:space="preserve">    2.企业所得税</t>
  </si>
  <si>
    <t xml:space="preserve">    3.个人所得税</t>
  </si>
  <si>
    <t xml:space="preserve">    4.城市维护建设税</t>
  </si>
  <si>
    <t>根据《深圳市水利建设基金筹集和使用管理办法》（深府〔2014〕50号）第三条第四项、第四条第四项和《财政部关于完善政府预算体系有关问题的通知》（财预〔2014〕368号）的有关规定，需从征收的城市维护建设税中划出15%至市水利建设基金。</t>
  </si>
  <si>
    <t xml:space="preserve">    5.房产税</t>
  </si>
  <si>
    <t xml:space="preserve">    6.印花税</t>
  </si>
  <si>
    <t xml:space="preserve">    7.城镇土地使用税</t>
  </si>
  <si>
    <t xml:space="preserve">    8.土地增值税</t>
  </si>
  <si>
    <t>根据10月收入数修改2019年预计数</t>
  </si>
  <si>
    <t xml:space="preserve">    9.契税</t>
  </si>
  <si>
    <t xml:space="preserve">    10.其他税收收入</t>
  </si>
  <si>
    <t>二、非税收入</t>
  </si>
  <si>
    <t>合计</t>
  </si>
  <si>
    <t>附件2</t>
  </si>
  <si>
    <t>大鹏新区2020年政府性基金预算收支平衡表</t>
  </si>
  <si>
    <t>收入</t>
  </si>
  <si>
    <t>支出</t>
  </si>
  <si>
    <t>科目代码</t>
  </si>
  <si>
    <t xml:space="preserve">2020年年初
预算数
</t>
  </si>
  <si>
    <t>比2019年预算%</t>
  </si>
  <si>
    <t>第一次调整数
B</t>
  </si>
  <si>
    <t>第二次调整数
C</t>
  </si>
  <si>
    <t xml:space="preserve">2020年预算调整数
</t>
  </si>
  <si>
    <t xml:space="preserve">2020年预算调整数为2020年年初预算数%
</t>
  </si>
  <si>
    <t>2020年年初
预算数</t>
  </si>
  <si>
    <t>政府性基金收入</t>
  </si>
  <si>
    <t>政府性基金支出</t>
  </si>
  <si>
    <t xml:space="preserve">   体育彩票公益金收入</t>
  </si>
  <si>
    <t xml:space="preserve">    城乡社区支出</t>
  </si>
  <si>
    <t xml:space="preserve">   国有土地使用权出让收入</t>
  </si>
  <si>
    <t xml:space="preserve">      国有土地使用权出让收入安排的支出</t>
  </si>
  <si>
    <t>主要用于坝光征地拆迁项目。</t>
  </si>
  <si>
    <t xml:space="preserve">        征地拆迁支出</t>
  </si>
  <si>
    <t>主要用于各单位除征地拆迁外的其他存量基建项目支出。</t>
  </si>
  <si>
    <t xml:space="preserve">        城市建设支出</t>
  </si>
  <si>
    <t>主要用于各单位小型基建项目，其中：安排葵涌办事处2,000万元、大鹏办事处2,000万元、南澳办事处1,500万元，教育卫健局520万元。</t>
  </si>
  <si>
    <t xml:space="preserve">        公共租赁住房支出</t>
  </si>
  <si>
    <t>主要用于各办事处城市品质提升续建项目，其中：安排葵涌办事处300万元、大鹏办事处200万元、南澳办事处500万元。</t>
  </si>
  <si>
    <t xml:space="preserve">        农业土地开发资金及对应专项债务收入安排的支出</t>
  </si>
  <si>
    <t xml:space="preserve">        其他国土支出</t>
  </si>
  <si>
    <t xml:space="preserve">      国有土地使用权出让收入对应专项债务收入安排的支出</t>
  </si>
  <si>
    <t xml:space="preserve">    其他支出</t>
  </si>
  <si>
    <t xml:space="preserve">      其他政府性基金及对应专项债务收入安排的支出</t>
  </si>
  <si>
    <t xml:space="preserve">      其他地方自行试点项目收益专项债券收入安排的支出</t>
  </si>
  <si>
    <t xml:space="preserve">    债务付息支出</t>
  </si>
  <si>
    <t xml:space="preserve">    债务发行费用支出</t>
  </si>
  <si>
    <t xml:space="preserve">      彩票公益金安排的支出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</si>
  <si>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</si>
  <si>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</si>
  <si>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</si>
  <si>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</si>
  <si>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政府性基金转移支付收入</t>
  </si>
  <si>
    <t xml:space="preserve">    　政府性基金补助支出</t>
  </si>
  <si>
    <t xml:space="preserve">        国有土地使用权出让收入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</si>
  <si>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 政府性基金上解支出</t>
    </r>
  </si>
  <si>
    <t xml:space="preserve">        农业土地开发资金收入</t>
  </si>
  <si>
    <t xml:space="preserve">    调出资金</t>
  </si>
  <si>
    <t xml:space="preserve">        污水处理费收入</t>
  </si>
  <si>
    <t xml:space="preserve">    年终结余</t>
  </si>
  <si>
    <t xml:space="preserve">        彩票公益金收入</t>
  </si>
  <si>
    <t>债务发行费用支出</t>
  </si>
  <si>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政府性基金上解收入</t>
    </r>
  </si>
  <si>
    <t>抗疫特别国债安排的支出</t>
  </si>
  <si>
    <t xml:space="preserve">     抗疫特别国债转移支付收入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</si>
  <si>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基础设施建设</t>
    </r>
  </si>
  <si>
    <t xml:space="preserve">   债务转贷收入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</si>
  <si>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生态环境治理</t>
    </r>
  </si>
  <si>
    <t xml:space="preserve">      地方政府专项债务转贷收入</t>
  </si>
  <si>
    <t xml:space="preserve">  抗疫相关支出</t>
  </si>
  <si>
    <t>预计2019年上年结余收入44,494万元左右，含国有土地使用权出让结余收入41,366万元（其中超收收入13,800万元、2018年结余27,566万元）、农业土地开发资金结余收入1,862万元、污水处理费结余收入685万元、彩票公益金结余收入581万元等。</t>
  </si>
  <si>
    <t xml:space="preserve">   上年结余收入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</si>
  <si>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援企稳岗补贴</t>
    </r>
  </si>
  <si>
    <t xml:space="preserve">   调入资金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</si>
  <si>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其他抗疫相关支出</t>
    </r>
  </si>
  <si>
    <t>支出总计</t>
  </si>
  <si>
    <t>2020年政府性基金收支平衡表</t>
  </si>
  <si>
    <t>2018年
实际结余数</t>
  </si>
  <si>
    <t>2019年全年预计收入数</t>
  </si>
  <si>
    <t>预计收入数</t>
  </si>
  <si>
    <t>2019年预计年终结余</t>
  </si>
  <si>
    <t>2020年预计收入数</t>
  </si>
  <si>
    <t>2020年预算数</t>
  </si>
  <si>
    <t>2019年
年初预算数</t>
  </si>
  <si>
    <t>2019年
调剂数</t>
  </si>
  <si>
    <t>2019年
调整数</t>
  </si>
  <si>
    <t>2019年
调整预算数</t>
  </si>
  <si>
    <t>2019年
追加指标数</t>
  </si>
  <si>
    <t>2019年
指标合计</t>
  </si>
  <si>
    <t>2019年
预计支出数</t>
  </si>
  <si>
    <t>2020年
预算数</t>
  </si>
  <si>
    <t>3=1+2</t>
  </si>
  <si>
    <t>6=4+5</t>
  </si>
  <si>
    <t>10=7+8+9</t>
  </si>
  <si>
    <t>12=10+11</t>
  </si>
  <si>
    <t>一、国有土地使用权出让收入</t>
  </si>
  <si>
    <t>国有土地使用权出让收入及对应专项债务收入安排的支出</t>
  </si>
  <si>
    <t>2019年新增政府投资项目未安排国土基金的项目</t>
  </si>
  <si>
    <t xml:space="preserve">   土地返拨收入及上年结转结余   </t>
  </si>
  <si>
    <t xml:space="preserve">   征地和拆迁补偿支出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</si>
  <si>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1.征地拆迁指标基建组审定调减数7195.12万元；
2.大预算剩余0万元；
3.预计支出63000-7195.12=55804.88万元；
</t>
    </r>
    <r>
      <rPr>
        <b/>
        <sz val="12"/>
        <rFont val="宋体"/>
        <charset val="134"/>
      </rPr>
      <t xml:space="preserve">
2019年预算数：2,000万元</t>
    </r>
  </si>
  <si>
    <t xml:space="preserve">   当年市投区建    </t>
  </si>
  <si>
    <t xml:space="preserve">   城市建设支出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</si>
  <si>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1.城市建设支出基建组审定调减数3151.5万元；
2.投资科尚未下达计划的燃气管道建设工程684万元、市容环境提升4108万元；征地拆迁项目1500万元。
预计支出数为42558-3151.5-684-4108-1500=33114.5万元
</t>
    </r>
    <r>
      <rPr>
        <b/>
        <sz val="12"/>
        <rFont val="宋体"/>
        <charset val="134"/>
      </rPr>
      <t>2019年预算数</t>
    </r>
    <r>
      <rPr>
        <sz val="12"/>
        <rFont val="宋体"/>
        <charset val="134"/>
      </rPr>
      <t>：存量基建6778.89</t>
    </r>
  </si>
  <si>
    <t xml:space="preserve">   小型基建支出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</si>
  <si>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1.单位报调减数3101.6万元；
2.大预算剩余3000万元
3.预计支出数为10000-3101.6-3000=3898.4万元
</t>
    </r>
    <r>
      <rPr>
        <b/>
        <sz val="12"/>
        <rFont val="宋体"/>
        <charset val="134"/>
      </rPr>
      <t xml:space="preserve">2019年预算数： </t>
    </r>
    <r>
      <rPr>
        <sz val="12"/>
        <rFont val="宋体"/>
        <charset val="134"/>
      </rPr>
      <t xml:space="preserve">
1.部门预算安排葵涌办事处2500万元、大鹏办事处2500万元、南澳办事处2000万元、公事局749万元</t>
    </r>
  </si>
  <si>
    <t xml:space="preserve">   廉租住房支出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</si>
  <si>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1.已经支出1099.5万元，剩余0.5万元</t>
    </r>
  </si>
  <si>
    <t xml:space="preserve">   公共租赁住房支出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</si>
  <si>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1.市投区建项目，基建组审定调减数220万元
</t>
    </r>
    <r>
      <rPr>
        <b/>
        <sz val="12"/>
        <rFont val="宋体"/>
        <charset val="134"/>
      </rPr>
      <t xml:space="preserve">
2019年预算数： </t>
    </r>
    <r>
      <rPr>
        <sz val="12"/>
        <rFont val="宋体"/>
        <charset val="134"/>
      </rPr>
      <t xml:space="preserve">
1.部门预算安排城市建设局：
（1）回购招商东岸项目配建的保障性住房8082万元；
（2）承租佳兆业广场作为人才住房租赁费用186万元；
（3）陶柏莉花园、生命产业园南区B2栋宿舍楼租赁费1150万元
（4）存量基建项目220万元</t>
    </r>
  </si>
  <si>
    <t xml:space="preserve">   城市品质提升支出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</si>
  <si>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由于该项目2018年安排在公共预算，所以预计支出为0
</t>
    </r>
    <r>
      <rPr>
        <b/>
        <sz val="12"/>
        <rFont val="宋体"/>
        <charset val="134"/>
      </rPr>
      <t>2019年预算数：</t>
    </r>
    <r>
      <rPr>
        <sz val="12"/>
        <rFont val="宋体"/>
        <charset val="134"/>
      </rPr>
      <t xml:space="preserve">
葵涌办事处2230万元、大鹏办事处1750万元、南澳办事处1100万元
</t>
    </r>
  </si>
  <si>
    <t xml:space="preserve">   其他国有土地使用权出让收入安排的支出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</si>
  <si>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1.单位报调减数：2000万元+32.5万元
2.大预算剩余104万元
3.预计支出12607-104-2000-32.5=10470.5
</t>
    </r>
    <r>
      <rPr>
        <b/>
        <sz val="12"/>
        <rFont val="宋体"/>
        <charset val="134"/>
      </rPr>
      <t>2019年预算数：</t>
    </r>
    <r>
      <rPr>
        <sz val="12"/>
        <rFont val="宋体"/>
        <charset val="134"/>
      </rPr>
      <t>1.8亿元，</t>
    </r>
    <r>
      <rPr>
        <b/>
        <sz val="12"/>
        <rFont val="宋体"/>
        <charset val="134"/>
      </rPr>
      <t>其中含：</t>
    </r>
    <r>
      <rPr>
        <sz val="12"/>
        <rFont val="宋体"/>
        <charset val="134"/>
      </rPr>
      <t xml:space="preserve">
1.西涌土地整备历史遗留事项经费2000万元；
2.一级水源保护区过渡安置房源南沙兴苑统租租金116万元。
3.存量基建项目4.04万元</t>
    </r>
  </si>
  <si>
    <t>二、农业土地开发资金收入</t>
  </si>
  <si>
    <t>农业土地开发资金及对应专项债务收入安排的支出</t>
  </si>
  <si>
    <r>
      <rPr>
        <b/>
        <sz val="12"/>
        <rFont val="宋体"/>
        <charset val="134"/>
      </rPr>
      <t>2018年预计支出数</t>
    </r>
    <r>
      <rPr>
        <sz val="12"/>
        <rFont val="宋体"/>
        <charset val="134"/>
      </rPr>
      <t xml:space="preserve">：
1.单位报调减数：45万元
2.大预算剩余0万元
3.预计支出79-45=34万元
</t>
    </r>
    <r>
      <rPr>
        <b/>
        <sz val="12"/>
        <rFont val="宋体"/>
        <charset val="134"/>
      </rPr>
      <t>2019年预算数：20万元</t>
    </r>
  </si>
  <si>
    <t>三、污水处理费收入</t>
  </si>
  <si>
    <t>污水处理费收入及对应专项债务收入安排的支出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</si>
  <si>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0万元
</t>
    </r>
    <r>
      <rPr>
        <b/>
        <sz val="12"/>
        <rFont val="宋体"/>
        <charset val="134"/>
      </rPr>
      <t xml:space="preserve">
2019年预算数：</t>
    </r>
    <r>
      <rPr>
        <sz val="12"/>
        <rFont val="宋体"/>
        <charset val="134"/>
      </rPr>
      <t xml:space="preserve">0万元，已在公共预算足额保障。
</t>
    </r>
  </si>
  <si>
    <t>四、彩票公益金收入</t>
  </si>
  <si>
    <t>彩票公益金及对应专项债务收入安排的支出</t>
  </si>
  <si>
    <t xml:space="preserve">  福利彩票公益金收入</t>
  </si>
  <si>
    <r>
      <rPr>
        <sz val="12"/>
        <rFont val="宋体"/>
        <charset val="134"/>
      </rPr>
      <t>1.2019年提前告知</t>
    </r>
    <r>
      <rPr>
        <sz val="12"/>
        <color theme="1"/>
        <rFont val="宋体"/>
        <charset val="134"/>
      </rPr>
      <t>828.1</t>
    </r>
    <r>
      <rPr>
        <sz val="12"/>
        <rFont val="宋体"/>
        <charset val="134"/>
      </rPr>
      <t>万元，2019年上级追加</t>
    </r>
    <r>
      <rPr>
        <sz val="12"/>
        <color rgb="FFFF0000"/>
        <rFont val="宋体"/>
        <charset val="134"/>
      </rPr>
      <t>19.9</t>
    </r>
    <r>
      <rPr>
        <sz val="12"/>
        <rFont val="宋体"/>
        <charset val="134"/>
      </rPr>
      <t>万元，合计</t>
    </r>
    <r>
      <rPr>
        <sz val="12"/>
        <color rgb="FFFF0000"/>
        <rFont val="宋体"/>
        <charset val="134"/>
      </rPr>
      <t>982.9</t>
    </r>
    <r>
      <rPr>
        <sz val="12"/>
        <rFont val="宋体"/>
        <charset val="134"/>
      </rPr>
      <t>万元
2.2020年提前告知819.72万元，《深圳市财政局关于2020 年全市福彩公益金分配情况的通知》深财社〔2019〕31 号</t>
    </r>
  </si>
  <si>
    <t xml:space="preserve">   用于社会福利的彩票公益金支出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</si>
  <si>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1.单位报调减10.95万元
2.大预算剩余0万元
3.预计支出827-10.95=816.05万元
</t>
    </r>
    <r>
      <rPr>
        <b/>
        <sz val="12"/>
        <rFont val="宋体"/>
        <charset val="134"/>
      </rPr>
      <t xml:space="preserve">
2019年预算数：
</t>
    </r>
    <r>
      <rPr>
        <sz val="12"/>
        <rFont val="宋体"/>
        <charset val="134"/>
      </rPr>
      <t>葵涌306.8+大鹏255.6+南澳244.16，合计806.56万元</t>
    </r>
  </si>
  <si>
    <t xml:space="preserve">  体育彩票公益金收入</t>
  </si>
  <si>
    <t>《深圳市财政局关于下发2020-2022 年体彩公益金市、区分成资金预分配方案的通知》深财教〔2019〕66 号</t>
  </si>
  <si>
    <t xml:space="preserve">   用于体育事业的彩票公益金支出</t>
  </si>
  <si>
    <r>
      <rPr>
        <b/>
        <sz val="12"/>
        <rFont val="宋体"/>
        <charset val="134"/>
      </rPr>
      <t>2018年预计支出数：</t>
    </r>
    <r>
      <rPr>
        <sz val="12"/>
        <rFont val="宋体"/>
        <charset val="134"/>
      </rPr>
      <t xml:space="preserve">
1.单位报调减24.19万元
2.大预算剩余2.21万元
3.预计支出227-24.19-2.21=200.6万元
2019年预算数：30万元</t>
    </r>
  </si>
  <si>
    <t xml:space="preserve">      其中：区级体彩金</t>
  </si>
  <si>
    <t>1.2018年实际返拨体彩金收入71万元
2.2019年预分配101万元</t>
  </si>
  <si>
    <t>政府性基金转移支出</t>
  </si>
  <si>
    <t xml:space="preserve">            上级转移支付体彩金</t>
  </si>
  <si>
    <t>2018年上级追加132万元</t>
  </si>
  <si>
    <t xml:space="preserve">    政府性基金补助支出</t>
  </si>
  <si>
    <t>调出资金1.5亿元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</si>
  <si>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</si>
  <si>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</si>
  <si>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</si>
  <si>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政府性基金上解收入</t>
  </si>
  <si>
    <t xml:space="preserve">    政府性基金上解支出</t>
  </si>
  <si>
    <t xml:space="preserve">  上年结余收入</t>
  </si>
  <si>
    <t xml:space="preserve">  调出资金</t>
  </si>
  <si>
    <t xml:space="preserve">  调入资金</t>
  </si>
  <si>
    <t xml:space="preserve">  年终结余</t>
  </si>
  <si>
    <t xml:space="preserve">    其中：地方政府性基金调入专项收入</t>
  </si>
  <si>
    <t xml:space="preserve">  地方政府专项债务还本支出</t>
  </si>
  <si>
    <t xml:space="preserve">  地方政府专项债务收入</t>
  </si>
  <si>
    <t xml:space="preserve">  地方政府专项债务转贷支出</t>
  </si>
  <si>
    <t xml:space="preserve">  地方政府专项债务转贷收入</t>
  </si>
  <si>
    <t>调入资金测算</t>
  </si>
  <si>
    <t>大鹏新区2017、2018年税收预测情况表</t>
  </si>
  <si>
    <t>国税</t>
  </si>
  <si>
    <t>地税</t>
  </si>
  <si>
    <t>区级分成</t>
  </si>
  <si>
    <t>全口径</t>
  </si>
  <si>
    <t>2017年</t>
  </si>
  <si>
    <t>2018年预计数</t>
  </si>
  <si>
    <t>2018年任务数</t>
  </si>
  <si>
    <t>增长</t>
  </si>
  <si>
    <t>税收收入</t>
  </si>
  <si>
    <t>增值税</t>
  </si>
  <si>
    <t>营业税</t>
  </si>
  <si>
    <t>企业所得税</t>
  </si>
  <si>
    <t>个人所得税</t>
  </si>
  <si>
    <t>城市维护建设税</t>
  </si>
  <si>
    <t>房产税</t>
  </si>
  <si>
    <t>印花税</t>
  </si>
  <si>
    <t>城镇土地使用税</t>
  </si>
  <si>
    <t>土地增值税</t>
  </si>
  <si>
    <t>契税</t>
  </si>
  <si>
    <t>其他税收收入</t>
  </si>
  <si>
    <t>2019年土地出让分成收支预计完成情况表</t>
  </si>
  <si>
    <t xml:space="preserve">                                                                                                             单位：万元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</si>
  <si>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</si>
  <si>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科目编码</t>
  </si>
  <si>
    <t>资金来源</t>
  </si>
  <si>
    <t>年度收入</t>
  </si>
  <si>
    <t>支出项目</t>
  </si>
  <si>
    <t>年初安排支出</t>
  </si>
  <si>
    <t>年初安排数
资金来源</t>
  </si>
  <si>
    <t>年中调剂后
安排数资金来源</t>
  </si>
  <si>
    <t>年中调整后
安排数资金来源</t>
  </si>
  <si>
    <t>调整后
预算数</t>
  </si>
  <si>
    <t>2019年预计支出数</t>
  </si>
  <si>
    <t>2019年
预计结余数</t>
  </si>
  <si>
    <t>一</t>
  </si>
  <si>
    <t>当年区分成收入</t>
  </si>
  <si>
    <t>结转结余</t>
  </si>
  <si>
    <t>超收收入</t>
  </si>
  <si>
    <t>招拍挂收入</t>
  </si>
  <si>
    <t>协议出让收入</t>
  </si>
  <si>
    <t>征地拆迁支出</t>
  </si>
  <si>
    <t>城市建设支出</t>
  </si>
  <si>
    <t>小型基建工程支出</t>
  </si>
  <si>
    <t>公共租赁住房支出</t>
  </si>
  <si>
    <t>城市品质提升支出</t>
  </si>
  <si>
    <t>预备资金</t>
  </si>
  <si>
    <t>二</t>
  </si>
  <si>
    <t>调出资金</t>
  </si>
  <si>
    <t>上年结转结余收入</t>
  </si>
  <si>
    <t>三</t>
  </si>
  <si>
    <t>年终结余</t>
  </si>
  <si>
    <t>总计</t>
  </si>
  <si>
    <t>备注：1.该表不考虑2018年上级转移支付，2.今年的返拨收入一定要够3.5亿元，不然预算安排就要穿了。</t>
  </si>
  <si>
    <t>2017年上解规模</t>
  </si>
  <si>
    <t>2018年上解规模</t>
  </si>
  <si>
    <t>(四)区上解市</t>
  </si>
  <si>
    <t xml:space="preserve"> A.区上解中央</t>
  </si>
  <si>
    <t xml:space="preserve">   1.原体制上解</t>
  </si>
  <si>
    <t>基数定额</t>
  </si>
  <si>
    <t xml:space="preserve">   2.上解国税经费</t>
  </si>
  <si>
    <t xml:space="preserve"> B.区上解省</t>
  </si>
  <si>
    <t xml:space="preserve">   1.体制合并定额上解</t>
  </si>
  <si>
    <t>全市合并定额100亿元（省财政原体制10%递增、原体制定额上解、新增定额上解合并）</t>
  </si>
  <si>
    <t xml:space="preserve">   2.对口支援西藏专项上解</t>
  </si>
  <si>
    <t>市按照8%递增</t>
  </si>
  <si>
    <t xml:space="preserve">   3.对口支援四川甘孜州上解</t>
  </si>
  <si>
    <t>市按照5%递增</t>
  </si>
  <si>
    <t xml:space="preserve">   4.新增一次性援疆援藏资金任务上解</t>
  </si>
  <si>
    <t>一次性</t>
  </si>
  <si>
    <t xml:space="preserve">   5.财政票据工本费上解</t>
  </si>
  <si>
    <t xml:space="preserve">   6.2011-2015年省统筹教育资金分担-分年度</t>
  </si>
  <si>
    <t>按照平均值预估</t>
  </si>
  <si>
    <t xml:space="preserve">   7.LNG税收专项上解</t>
  </si>
  <si>
    <t>按照去年规模预计</t>
  </si>
  <si>
    <t xml:space="preserve"> C.区上解市</t>
  </si>
  <si>
    <t xml:space="preserve">   1.第五轮体制结算定额上解</t>
  </si>
  <si>
    <t>定额</t>
  </si>
  <si>
    <t xml:space="preserve">   3.城镇居民医疗保险补贴资金</t>
  </si>
  <si>
    <t xml:space="preserve">   4.原特区外排水管网下放财力收回2016-2017年</t>
  </si>
  <si>
    <t>深财居【2018】5</t>
  </si>
  <si>
    <t xml:space="preserve">   6.对口援疆资金上解</t>
  </si>
  <si>
    <t xml:space="preserve">   7.2017年市区体制结算调整</t>
  </si>
  <si>
    <t>明年5个亿全给，应该不存在该事项</t>
  </si>
  <si>
    <t>基建组审核国土基金调减数：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</si>
  <si>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其中征地拆迁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</si>
  <si>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市投区建（人才公寓）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</si>
  <si>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农业土地开发支出（经服务局）</t>
    </r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</si>
</sst>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_);[Red]\(#,##0.0\)"/>
    <numFmt numFmtId="177" formatCode="#,##0_);[Red]\(#,##0\)"/>
    <numFmt numFmtId="178" formatCode="_ * #,##0_ ;_ * \-#,##0_ ;_ * &quot;-&quot;??_ ;_ @_ "/>
    <numFmt numFmtId="179" formatCode="0_);[Red]\(0\)"/>
    <numFmt numFmtId="180" formatCode="0_ "/>
    <numFmt numFmtId="181" formatCode="0.0%"/>
    <numFmt numFmtId="182" formatCode="#,##0_ "/>
    <numFmt numFmtId="183" formatCode="#,##0.00_ "/>
  </numFmts>
  <fonts count="82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sz val="18"/>
      <color indexed="8"/>
      <name val="黑体"/>
      <charset val="134"/>
    </font>
    <font>
      <sz val="10"/>
      <color indexed="8"/>
      <name val="宋体"/>
      <charset val="134"/>
      <scheme val="minor"/>
    </font>
    <font>
      <b/>
      <sz val="14"/>
      <color indexed="8"/>
      <name val="黑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4"/>
      <name val="黑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sz val="13"/>
      <name val="仿宋_GB2312"/>
      <charset val="134"/>
    </font>
    <font>
      <b/>
      <sz val="13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3"/>
      <name val="Times New Roman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b/>
      <sz val="13"/>
      <name val="黑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3"/>
      <name val="黑体"/>
      <charset val="134"/>
    </font>
    <font>
      <sz val="2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4"/>
      <color theme="1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9"/>
      <name val="Tahoma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67" fillId="0" borderId="0" applyFont="0" applyFill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1" fillId="11" borderId="37" applyNumberFormat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67" fillId="26" borderId="42" applyNumberFormat="0" applyFont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8" fillId="0" borderId="40" applyNumberFormat="0" applyFill="0" applyAlignment="0" applyProtection="0">
      <alignment vertical="center"/>
    </xf>
    <xf numFmtId="0" fontId="70" fillId="0" borderId="40" applyNumberFormat="0" applyFill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74" fillId="0" borderId="41" applyNumberFormat="0" applyFill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6" fillId="6" borderId="43" applyNumberFormat="0" applyAlignment="0" applyProtection="0">
      <alignment vertical="center"/>
    </xf>
    <xf numFmtId="0" fontId="59" fillId="6" borderId="37" applyNumberFormat="0" applyAlignment="0" applyProtection="0">
      <alignment vertical="center"/>
    </xf>
    <xf numFmtId="0" fontId="69" fillId="20" borderId="39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79" fillId="0" borderId="44" applyNumberFormat="0" applyFill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7" fillId="18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0" fillId="0" borderId="0"/>
    <xf numFmtId="0" fontId="5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0" fillId="0" borderId="0"/>
    <xf numFmtId="0" fontId="57" fillId="3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16" fillId="0" borderId="0"/>
    <xf numFmtId="0" fontId="0" fillId="0" borderId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60" fillId="0" borderId="0"/>
  </cellStyleXfs>
  <cellXfs count="69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8" applyNumberFormat="1" applyFont="1" applyAlignment="1"/>
    <xf numFmtId="43" fontId="0" fillId="0" borderId="0" xfId="8" applyFont="1" applyAlignment="1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8" applyNumberFormat="1" applyFont="1" applyBorder="1" applyAlignment="1">
      <alignment horizontal="center" vertical="center"/>
    </xf>
    <xf numFmtId="43" fontId="1" fillId="0" borderId="1" xfId="8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8" fontId="0" fillId="0" borderId="1" xfId="8" applyNumberFormat="1" applyFont="1" applyBorder="1" applyAlignment="1"/>
    <xf numFmtId="0" fontId="2" fillId="0" borderId="1" xfId="0" applyFont="1" applyBorder="1" applyAlignment="1">
      <alignment vertical="center" wrapText="1"/>
    </xf>
    <xf numFmtId="43" fontId="0" fillId="0" borderId="1" xfId="8" applyFont="1" applyBorder="1" applyAlignment="1"/>
    <xf numFmtId="0" fontId="0" fillId="0" borderId="1" xfId="0" applyFont="1" applyBorder="1" applyAlignment="1">
      <alignment vertical="center"/>
    </xf>
    <xf numFmtId="43" fontId="0" fillId="0" borderId="1" xfId="8" applyFont="1" applyFill="1" applyBorder="1" applyAlignment="1"/>
    <xf numFmtId="0" fontId="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/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177" fontId="9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/>
    <xf numFmtId="0" fontId="6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" xfId="0" applyFill="1" applyBorder="1"/>
    <xf numFmtId="0" fontId="1" fillId="0" borderId="0" xfId="38" applyFont="1">
      <alignment vertical="center"/>
    </xf>
    <xf numFmtId="0" fontId="11" fillId="0" borderId="0" xfId="38" applyFont="1">
      <alignment vertical="center"/>
    </xf>
    <xf numFmtId="0" fontId="6" fillId="0" borderId="0" xfId="38" applyFont="1">
      <alignment vertical="center"/>
    </xf>
    <xf numFmtId="0" fontId="0" fillId="0" borderId="0" xfId="38">
      <alignment vertical="center"/>
    </xf>
    <xf numFmtId="0" fontId="0" fillId="0" borderId="0" xfId="38" applyAlignment="1">
      <alignment horizontal="right" vertical="center"/>
    </xf>
    <xf numFmtId="180" fontId="12" fillId="0" borderId="0" xfId="59" applyNumberFormat="1" applyFont="1" applyBorder="1" applyAlignment="1" applyProtection="1">
      <alignment horizontal="center" vertical="center"/>
      <protection locked="0"/>
    </xf>
    <xf numFmtId="180" fontId="13" fillId="0" borderId="2" xfId="59" applyNumberFormat="1" applyFont="1" applyBorder="1" applyAlignment="1" applyProtection="1">
      <alignment vertical="center"/>
      <protection locked="0"/>
    </xf>
    <xf numFmtId="180" fontId="13" fillId="0" borderId="0" xfId="59" applyNumberFormat="1" applyFont="1" applyBorder="1" applyAlignment="1" applyProtection="1">
      <alignment vertical="center"/>
      <protection locked="0"/>
    </xf>
    <xf numFmtId="180" fontId="13" fillId="0" borderId="0" xfId="59" applyNumberFormat="1" applyFont="1" applyBorder="1" applyAlignment="1" applyProtection="1">
      <alignment horizontal="right" vertical="center"/>
      <protection locked="0"/>
    </xf>
    <xf numFmtId="180" fontId="14" fillId="0" borderId="13" xfId="59" applyNumberFormat="1" applyFont="1" applyBorder="1" applyAlignment="1" applyProtection="1">
      <alignment horizontal="center" vertical="center"/>
      <protection locked="0"/>
    </xf>
    <xf numFmtId="0" fontId="15" fillId="3" borderId="14" xfId="45" applyNumberFormat="1" applyFont="1" applyFill="1" applyBorder="1" applyAlignment="1">
      <alignment horizontal="center" vertical="center" wrapText="1"/>
    </xf>
    <xf numFmtId="0" fontId="15" fillId="3" borderId="15" xfId="45" applyNumberFormat="1" applyFont="1" applyFill="1" applyBorder="1" applyAlignment="1">
      <alignment horizontal="center" vertical="center" wrapText="1"/>
    </xf>
    <xf numFmtId="180" fontId="14" fillId="0" borderId="7" xfId="59" applyNumberFormat="1" applyFont="1" applyBorder="1" applyAlignment="1" applyProtection="1">
      <alignment horizontal="center" vertical="center"/>
      <protection locked="0"/>
    </xf>
    <xf numFmtId="177" fontId="15" fillId="3" borderId="16" xfId="45" applyNumberFormat="1" applyFont="1" applyFill="1" applyBorder="1" applyAlignment="1">
      <alignment horizontal="center" vertical="center" wrapText="1"/>
    </xf>
    <xf numFmtId="177" fontId="15" fillId="3" borderId="3" xfId="45" applyNumberFormat="1" applyFont="1" applyFill="1" applyBorder="1" applyAlignment="1">
      <alignment horizontal="center" vertical="center" wrapText="1"/>
    </xf>
    <xf numFmtId="177" fontId="15" fillId="3" borderId="9" xfId="45" applyNumberFormat="1" applyFont="1" applyFill="1" applyBorder="1" applyAlignment="1">
      <alignment horizontal="center" vertical="center" wrapText="1"/>
    </xf>
    <xf numFmtId="177" fontId="15" fillId="3" borderId="12" xfId="45" applyNumberFormat="1" applyFont="1" applyFill="1" applyBorder="1" applyAlignment="1">
      <alignment horizontal="center" vertical="center" wrapText="1"/>
    </xf>
    <xf numFmtId="180" fontId="14" fillId="0" borderId="10" xfId="59" applyNumberFormat="1" applyFont="1" applyBorder="1" applyAlignment="1" applyProtection="1">
      <alignment horizontal="center" vertical="center"/>
      <protection locked="0"/>
    </xf>
    <xf numFmtId="177" fontId="15" fillId="0" borderId="17" xfId="45" applyNumberFormat="1" applyFont="1" applyFill="1" applyBorder="1" applyAlignment="1">
      <alignment horizontal="center" vertical="center" wrapText="1"/>
    </xf>
    <xf numFmtId="177" fontId="15" fillId="0" borderId="1" xfId="45" applyNumberFormat="1" applyFont="1" applyFill="1" applyBorder="1" applyAlignment="1">
      <alignment horizontal="center" vertical="center" wrapText="1"/>
    </xf>
    <xf numFmtId="180" fontId="14" fillId="0" borderId="12" xfId="59" applyNumberFormat="1" applyFont="1" applyBorder="1" applyAlignment="1" applyProtection="1">
      <alignment horizontal="center" vertical="center"/>
      <protection locked="0"/>
    </xf>
    <xf numFmtId="177" fontId="15" fillId="3" borderId="17" xfId="45" applyNumberFormat="1" applyFont="1" applyFill="1" applyBorder="1" applyAlignment="1">
      <alignment horizontal="right" vertical="center" wrapText="1"/>
    </xf>
    <xf numFmtId="177" fontId="15" fillId="3" borderId="1" xfId="45" applyNumberFormat="1" applyFont="1" applyFill="1" applyBorder="1" applyAlignment="1">
      <alignment horizontal="right" vertical="center" wrapText="1"/>
    </xf>
    <xf numFmtId="181" fontId="15" fillId="3" borderId="1" xfId="45" applyNumberFormat="1" applyFont="1" applyFill="1" applyBorder="1" applyAlignment="1">
      <alignment horizontal="right" vertical="center" wrapText="1"/>
    </xf>
    <xf numFmtId="180" fontId="16" fillId="0" borderId="7" xfId="59" applyNumberFormat="1" applyFont="1" applyBorder="1" applyAlignment="1" applyProtection="1">
      <alignment horizontal="center" vertical="center"/>
      <protection locked="0"/>
    </xf>
    <xf numFmtId="182" fontId="0" fillId="3" borderId="18" xfId="45" applyNumberFormat="1" applyFont="1" applyFill="1" applyBorder="1" applyAlignment="1">
      <alignment horizontal="right" vertical="center" wrapText="1"/>
    </xf>
    <xf numFmtId="182" fontId="0" fillId="3" borderId="5" xfId="45" applyNumberFormat="1" applyFont="1" applyFill="1" applyBorder="1" applyAlignment="1">
      <alignment horizontal="right" vertical="center" wrapText="1"/>
    </xf>
    <xf numFmtId="181" fontId="0" fillId="3" borderId="5" xfId="45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182" fontId="0" fillId="3" borderId="19" xfId="45" applyNumberFormat="1" applyFont="1" applyFill="1" applyBorder="1" applyAlignment="1">
      <alignment horizontal="right" vertical="center" wrapText="1"/>
    </xf>
    <xf numFmtId="182" fontId="0" fillId="3" borderId="20" xfId="45" applyNumberFormat="1" applyFont="1" applyFill="1" applyBorder="1" applyAlignment="1">
      <alignment horizontal="right" vertical="center" wrapText="1"/>
    </xf>
    <xf numFmtId="181" fontId="0" fillId="3" borderId="20" xfId="45" applyNumberFormat="1" applyFont="1" applyFill="1" applyBorder="1" applyAlignment="1">
      <alignment horizontal="right" vertical="center" wrapText="1"/>
    </xf>
    <xf numFmtId="177" fontId="0" fillId="0" borderId="0" xfId="38" applyNumberFormat="1">
      <alignment vertical="center"/>
    </xf>
    <xf numFmtId="182" fontId="0" fillId="0" borderId="0" xfId="38" applyNumberFormat="1" applyAlignment="1">
      <alignment horizontal="right" vertical="center"/>
    </xf>
    <xf numFmtId="0" fontId="0" fillId="0" borderId="0" xfId="38" applyBorder="1">
      <alignment vertical="center"/>
    </xf>
    <xf numFmtId="182" fontId="0" fillId="0" borderId="0" xfId="38" applyNumberFormat="1">
      <alignment vertical="center"/>
    </xf>
    <xf numFmtId="0" fontId="15" fillId="3" borderId="21" xfId="45" applyNumberFormat="1" applyFont="1" applyFill="1" applyBorder="1" applyAlignment="1">
      <alignment horizontal="center" vertical="center" wrapText="1"/>
    </xf>
    <xf numFmtId="177" fontId="15" fillId="3" borderId="22" xfId="45" applyNumberFormat="1" applyFont="1" applyFill="1" applyBorder="1" applyAlignment="1">
      <alignment horizontal="center" vertical="center" wrapText="1"/>
    </xf>
    <xf numFmtId="177" fontId="15" fillId="0" borderId="23" xfId="45" applyNumberFormat="1" applyFont="1" applyFill="1" applyBorder="1" applyAlignment="1">
      <alignment horizontal="center" vertical="center" wrapText="1"/>
    </xf>
    <xf numFmtId="181" fontId="15" fillId="3" borderId="23" xfId="45" applyNumberFormat="1" applyFont="1" applyFill="1" applyBorder="1" applyAlignment="1">
      <alignment horizontal="right" vertical="center" wrapText="1"/>
    </xf>
    <xf numFmtId="181" fontId="0" fillId="3" borderId="24" xfId="45" applyNumberFormat="1" applyFont="1" applyFill="1" applyBorder="1" applyAlignment="1">
      <alignment horizontal="right" vertical="center" wrapText="1"/>
    </xf>
    <xf numFmtId="181" fontId="0" fillId="3" borderId="25" xfId="45" applyNumberFormat="1" applyFont="1" applyFill="1" applyBorder="1" applyAlignment="1">
      <alignment horizontal="right" vertical="center" wrapText="1"/>
    </xf>
    <xf numFmtId="180" fontId="17" fillId="0" borderId="0" xfId="59" applyNumberFormat="1" applyFont="1" applyBorder="1" applyAlignment="1" applyProtection="1">
      <alignment horizontal="center" vertical="center"/>
      <protection locked="0"/>
    </xf>
    <xf numFmtId="0" fontId="14" fillId="0" borderId="14" xfId="59" applyNumberFormat="1" applyFont="1" applyBorder="1" applyAlignment="1" applyProtection="1">
      <alignment horizontal="center" vertical="center"/>
      <protection locked="0"/>
    </xf>
    <xf numFmtId="0" fontId="14" fillId="0" borderId="15" xfId="59" applyNumberFormat="1" applyFont="1" applyBorder="1" applyAlignment="1" applyProtection="1">
      <alignment horizontal="center" vertical="center"/>
      <protection locked="0"/>
    </xf>
    <xf numFmtId="0" fontId="14" fillId="0" borderId="21" xfId="59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wrapText="1"/>
    </xf>
    <xf numFmtId="3" fontId="0" fillId="0" borderId="0" xfId="0" applyNumberFormat="1" applyFont="1" applyFill="1" applyBorder="1" applyAlignment="1">
      <alignment horizontal="center" wrapText="1"/>
    </xf>
    <xf numFmtId="178" fontId="0" fillId="0" borderId="0" xfId="0" applyNumberFormat="1" applyFont="1" applyFill="1" applyBorder="1" applyAlignment="1">
      <alignment horizontal="center" wrapText="1"/>
    </xf>
    <xf numFmtId="43" fontId="0" fillId="0" borderId="0" xfId="0" applyNumberFormat="1" applyFont="1" applyFill="1" applyBorder="1" applyAlignment="1">
      <alignment horizontal="center" wrapText="1"/>
    </xf>
    <xf numFmtId="0" fontId="1" fillId="2" borderId="13" xfId="39" applyFont="1" applyFill="1" applyBorder="1" applyAlignment="1">
      <alignment horizontal="center" vertical="center" wrapText="1"/>
    </xf>
    <xf numFmtId="0" fontId="1" fillId="2" borderId="26" xfId="39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1" fillId="2" borderId="4" xfId="39" applyFont="1" applyFill="1" applyBorder="1" applyAlignment="1">
      <alignment horizontal="center" vertical="center" wrapText="1"/>
    </xf>
    <xf numFmtId="0" fontId="1" fillId="2" borderId="1" xfId="3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6" xfId="39" applyFont="1" applyFill="1" applyBorder="1" applyAlignment="1">
      <alignment horizontal="center" vertical="center" wrapText="1"/>
    </xf>
    <xf numFmtId="3" fontId="0" fillId="2" borderId="1" xfId="39" applyNumberFormat="1" applyFont="1" applyFill="1" applyBorder="1" applyAlignment="1" applyProtection="1">
      <alignment vertical="center" wrapText="1"/>
    </xf>
    <xf numFmtId="3" fontId="18" fillId="2" borderId="1" xfId="39" applyNumberFormat="1" applyFont="1" applyFill="1" applyBorder="1" applyAlignment="1" applyProtection="1">
      <alignment vertical="center"/>
    </xf>
    <xf numFmtId="3" fontId="0" fillId="0" borderId="1" xfId="61" applyNumberFormat="1" applyFont="1" applyFill="1" applyBorder="1" applyAlignment="1">
      <alignment vertical="center" wrapText="1"/>
    </xf>
    <xf numFmtId="3" fontId="18" fillId="0" borderId="1" xfId="39" applyNumberFormat="1" applyFont="1" applyFill="1" applyBorder="1" applyAlignment="1" applyProtection="1">
      <alignment vertical="center"/>
    </xf>
    <xf numFmtId="3" fontId="18" fillId="0" borderId="1" xfId="61" applyNumberFormat="1" applyFont="1" applyFill="1" applyBorder="1" applyAlignment="1">
      <alignment vertical="center" wrapText="1"/>
    </xf>
    <xf numFmtId="3" fontId="18" fillId="2" borderId="1" xfId="61" applyNumberFormat="1" applyFont="1" applyFill="1" applyBorder="1" applyAlignment="1">
      <alignment vertical="center" wrapText="1"/>
    </xf>
    <xf numFmtId="43" fontId="18" fillId="0" borderId="1" xfId="8" applyFont="1" applyFill="1" applyBorder="1" applyAlignment="1" applyProtection="1">
      <alignment vertical="center"/>
    </xf>
    <xf numFmtId="43" fontId="18" fillId="0" borderId="1" xfId="8" applyFont="1" applyFill="1" applyBorder="1" applyAlignment="1">
      <alignment vertical="center" wrapText="1"/>
    </xf>
    <xf numFmtId="182" fontId="18" fillId="2" borderId="1" xfId="61" applyNumberFormat="1" applyFont="1" applyFill="1" applyBorder="1" applyAlignment="1">
      <alignment vertical="center" wrapText="1"/>
    </xf>
    <xf numFmtId="3" fontId="0" fillId="2" borderId="1" xfId="61" applyNumberFormat="1" applyFont="1" applyFill="1" applyBorder="1" applyAlignment="1">
      <alignment vertical="center" wrapText="1"/>
    </xf>
    <xf numFmtId="182" fontId="18" fillId="0" borderId="1" xfId="61" applyNumberFormat="1" applyFont="1" applyFill="1" applyBorder="1" applyAlignment="1">
      <alignment vertical="center" wrapText="1"/>
    </xf>
    <xf numFmtId="182" fontId="0" fillId="0" borderId="1" xfId="61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wrapText="1"/>
    </xf>
    <xf numFmtId="0" fontId="18" fillId="0" borderId="1" xfId="0" applyFont="1" applyFill="1" applyBorder="1"/>
    <xf numFmtId="0" fontId="0" fillId="2" borderId="1" xfId="0" applyFont="1" applyFill="1" applyBorder="1"/>
    <xf numFmtId="0" fontId="1" fillId="2" borderId="1" xfId="39" applyFont="1" applyFill="1" applyBorder="1" applyAlignment="1">
      <alignment horizontal="distributed" vertical="center"/>
    </xf>
    <xf numFmtId="3" fontId="11" fillId="2" borderId="1" xfId="39" applyNumberFormat="1" applyFont="1" applyFill="1" applyBorder="1" applyAlignment="1">
      <alignment horizontal="right" vertical="center"/>
    </xf>
    <xf numFmtId="3" fontId="1" fillId="0" borderId="1" xfId="39" applyNumberFormat="1" applyFont="1" applyFill="1" applyBorder="1" applyAlignment="1">
      <alignment horizontal="right" vertical="center"/>
    </xf>
    <xf numFmtId="0" fontId="1" fillId="0" borderId="1" xfId="39" applyFont="1" applyFill="1" applyBorder="1" applyAlignment="1">
      <alignment vertical="center"/>
    </xf>
    <xf numFmtId="177" fontId="1" fillId="0" borderId="1" xfId="43" applyNumberFormat="1" applyFont="1" applyFill="1" applyBorder="1" applyAlignment="1">
      <alignment horizontal="right" vertical="center"/>
    </xf>
    <xf numFmtId="0" fontId="0" fillId="0" borderId="1" xfId="39" applyFont="1" applyFill="1" applyBorder="1" applyAlignment="1">
      <alignment vertical="center"/>
    </xf>
    <xf numFmtId="177" fontId="0" fillId="0" borderId="1" xfId="43" applyNumberFormat="1" applyFont="1" applyFill="1" applyBorder="1" applyAlignment="1">
      <alignment horizontal="right" vertical="center"/>
    </xf>
    <xf numFmtId="0" fontId="1" fillId="0" borderId="1" xfId="39" applyFont="1" applyFill="1" applyBorder="1" applyAlignment="1">
      <alignment horizontal="distributed" vertical="center"/>
    </xf>
    <xf numFmtId="3" fontId="0" fillId="0" borderId="0" xfId="0" applyNumberFormat="1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39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8" applyNumberFormat="1" applyFont="1" applyFill="1" applyBorder="1" applyAlignment="1">
      <alignment horizontal="center" vertical="center"/>
    </xf>
    <xf numFmtId="3" fontId="0" fillId="0" borderId="1" xfId="39" applyNumberFormat="1" applyFont="1" applyFill="1" applyBorder="1" applyAlignment="1" applyProtection="1">
      <alignment horizontal="center" vertical="center" wrapText="1"/>
    </xf>
    <xf numFmtId="3" fontId="0" fillId="0" borderId="1" xfId="39" applyNumberFormat="1" applyFont="1" applyFill="1" applyBorder="1" applyAlignment="1" applyProtection="1">
      <alignment vertical="center"/>
    </xf>
    <xf numFmtId="3" fontId="0" fillId="0" borderId="0" xfId="39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18" fillId="2" borderId="1" xfId="8" applyNumberFormat="1" applyFont="1" applyFill="1" applyBorder="1" applyAlignment="1" applyProtection="1">
      <alignment vertical="center" wrapText="1"/>
    </xf>
    <xf numFmtId="3" fontId="18" fillId="0" borderId="1" xfId="39" applyNumberFormat="1" applyFont="1" applyFill="1" applyBorder="1" applyAlignment="1" applyProtection="1">
      <alignment vertical="center" wrapText="1"/>
    </xf>
    <xf numFmtId="178" fontId="18" fillId="0" borderId="1" xfId="8" applyNumberFormat="1" applyFont="1" applyFill="1" applyBorder="1" applyAlignment="1" applyProtection="1">
      <alignment vertical="center" wrapText="1"/>
    </xf>
    <xf numFmtId="0" fontId="0" fillId="2" borderId="1" xfId="39" applyFont="1" applyFill="1" applyBorder="1" applyAlignment="1">
      <alignment horizontal="left" vertical="center" wrapText="1"/>
    </xf>
    <xf numFmtId="0" fontId="18" fillId="0" borderId="1" xfId="39" applyFont="1" applyFill="1" applyBorder="1" applyAlignment="1">
      <alignment horizontal="left" vertical="center" wrapText="1"/>
    </xf>
    <xf numFmtId="178" fontId="18" fillId="2" borderId="1" xfId="8" applyNumberFormat="1" applyFont="1" applyFill="1" applyBorder="1" applyAlignment="1">
      <alignment horizontal="left" vertical="center" wrapText="1"/>
    </xf>
    <xf numFmtId="178" fontId="18" fillId="0" borderId="1" xfId="8" applyNumberFormat="1" applyFont="1" applyFill="1" applyBorder="1" applyAlignment="1">
      <alignment horizontal="left" vertical="center" wrapText="1"/>
    </xf>
    <xf numFmtId="0" fontId="1" fillId="2" borderId="1" xfId="39" applyFont="1" applyFill="1" applyBorder="1" applyAlignment="1">
      <alignment horizontal="distributed" vertical="center" wrapText="1"/>
    </xf>
    <xf numFmtId="178" fontId="11" fillId="2" borderId="1" xfId="39" applyNumberFormat="1" applyFont="1" applyFill="1" applyBorder="1" applyAlignment="1">
      <alignment horizontal="distributed" vertical="center" wrapText="1"/>
    </xf>
    <xf numFmtId="178" fontId="11" fillId="2" borderId="1" xfId="8" applyNumberFormat="1" applyFont="1" applyFill="1" applyBorder="1" applyAlignment="1" applyProtection="1">
      <alignment vertical="center" wrapText="1"/>
    </xf>
    <xf numFmtId="0" fontId="1" fillId="0" borderId="1" xfId="39" applyFont="1" applyFill="1" applyBorder="1" applyAlignment="1">
      <alignment vertical="center" wrapText="1"/>
    </xf>
    <xf numFmtId="0" fontId="0" fillId="0" borderId="1" xfId="39" applyFont="1" applyFill="1" applyBorder="1" applyAlignment="1">
      <alignment vertical="center" wrapText="1"/>
    </xf>
    <xf numFmtId="0" fontId="1" fillId="0" borderId="1" xfId="39" applyFont="1" applyFill="1" applyBorder="1" applyAlignment="1">
      <alignment horizontal="distributed" vertical="center" wrapText="1"/>
    </xf>
    <xf numFmtId="178" fontId="0" fillId="0" borderId="0" xfId="0" applyNumberFormat="1" applyFont="1" applyFill="1"/>
    <xf numFmtId="177" fontId="0" fillId="0" borderId="0" xfId="0" applyNumberFormat="1" applyFont="1" applyFill="1" applyAlignment="1">
      <alignment wrapText="1"/>
    </xf>
    <xf numFmtId="43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/>
    <xf numFmtId="0" fontId="0" fillId="2" borderId="0" xfId="0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3" fontId="18" fillId="0" borderId="1" xfId="8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177" fontId="18" fillId="0" borderId="1" xfId="43" applyNumberFormat="1" applyFont="1" applyFill="1" applyBorder="1" applyAlignment="1">
      <alignment horizontal="right" vertical="center"/>
    </xf>
    <xf numFmtId="177" fontId="18" fillId="0" borderId="1" xfId="43" applyNumberFormat="1" applyFont="1" applyFill="1" applyBorder="1" applyAlignment="1" applyProtection="1">
      <alignment horizontal="right" vertical="center"/>
    </xf>
    <xf numFmtId="177" fontId="18" fillId="2" borderId="1" xfId="43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177" fontId="11" fillId="2" borderId="1" xfId="43" applyNumberFormat="1" applyFont="1" applyFill="1" applyBorder="1" applyAlignment="1">
      <alignment horizontal="right" vertical="center"/>
    </xf>
    <xf numFmtId="43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178" fontId="0" fillId="0" borderId="0" xfId="0" applyNumberFormat="1" applyFont="1" applyFill="1" applyAlignment="1">
      <alignment vertical="center" wrapText="1"/>
    </xf>
    <xf numFmtId="180" fontId="0" fillId="0" borderId="0" xfId="0" applyNumberFormat="1" applyFill="1" applyAlignment="1" applyProtection="1">
      <alignment horizontal="left"/>
      <protection locked="0"/>
    </xf>
    <xf numFmtId="180" fontId="0" fillId="0" borderId="0" xfId="0" applyNumberFormat="1" applyFill="1" applyAlignment="1" applyProtection="1">
      <alignment horizontal="right"/>
      <protection locked="0"/>
    </xf>
    <xf numFmtId="180" fontId="20" fillId="0" borderId="0" xfId="0" applyNumberFormat="1" applyFont="1" applyFill="1" applyProtection="1">
      <protection locked="0"/>
    </xf>
    <xf numFmtId="180" fontId="0" fillId="0" borderId="0" xfId="0" applyNumberFormat="1" applyFill="1" applyProtection="1">
      <protection locked="0"/>
    </xf>
    <xf numFmtId="179" fontId="0" fillId="0" borderId="0" xfId="0" applyNumberFormat="1" applyFill="1" applyAlignment="1" applyProtection="1">
      <alignment horizontal="left"/>
      <protection locked="0"/>
    </xf>
    <xf numFmtId="180" fontId="2" fillId="0" borderId="0" xfId="0" applyNumberFormat="1" applyFont="1" applyFill="1" applyProtection="1">
      <protection locked="0"/>
    </xf>
    <xf numFmtId="180" fontId="21" fillId="0" borderId="0" xfId="0" applyNumberFormat="1" applyFont="1" applyFill="1" applyAlignment="1" applyProtection="1">
      <alignment horizontal="left" vertical="center"/>
    </xf>
    <xf numFmtId="179" fontId="21" fillId="0" borderId="0" xfId="0" applyNumberFormat="1" applyFont="1" applyFill="1" applyAlignment="1" applyProtection="1">
      <alignment horizontal="left" vertical="center"/>
    </xf>
    <xf numFmtId="180" fontId="0" fillId="0" borderId="0" xfId="51" applyNumberFormat="1" applyFont="1" applyFill="1" applyAlignment="1" applyProtection="1">
      <alignment horizontal="left" vertical="center"/>
    </xf>
    <xf numFmtId="180" fontId="2" fillId="0" borderId="0" xfId="51" applyNumberFormat="1" applyFont="1" applyFill="1" applyAlignment="1" applyProtection="1">
      <alignment horizontal="left" vertical="center"/>
    </xf>
    <xf numFmtId="180" fontId="22" fillId="0" borderId="0" xfId="51" applyNumberFormat="1" applyFont="1" applyFill="1" applyAlignment="1" applyProtection="1">
      <alignment horizontal="center" vertical="center" wrapText="1"/>
    </xf>
    <xf numFmtId="180" fontId="0" fillId="0" borderId="2" xfId="51" applyNumberFormat="1" applyFont="1" applyFill="1" applyBorder="1" applyAlignment="1" applyProtection="1">
      <alignment horizontal="right" vertical="center" wrapText="1"/>
    </xf>
    <xf numFmtId="180" fontId="20" fillId="0" borderId="26" xfId="51" applyNumberFormat="1" applyFont="1" applyFill="1" applyBorder="1" applyAlignment="1" applyProtection="1">
      <alignment horizontal="distributed" vertical="center"/>
    </xf>
    <xf numFmtId="180" fontId="20" fillId="0" borderId="3" xfId="51" applyNumberFormat="1" applyFont="1" applyFill="1" applyBorder="1" applyAlignment="1" applyProtection="1">
      <alignment horizontal="distributed" vertical="center"/>
    </xf>
    <xf numFmtId="180" fontId="20" fillId="0" borderId="9" xfId="51" applyNumberFormat="1" applyFont="1" applyFill="1" applyBorder="1" applyAlignment="1" applyProtection="1">
      <alignment horizontal="distributed" vertical="center"/>
    </xf>
    <xf numFmtId="180" fontId="1" fillId="0" borderId="1" xfId="59" applyNumberFormat="1" applyFont="1" applyFill="1" applyBorder="1" applyAlignment="1" applyProtection="1">
      <alignment horizontal="center" vertical="center"/>
    </xf>
    <xf numFmtId="179" fontId="1" fillId="0" borderId="1" xfId="59" applyNumberFormat="1" applyFont="1" applyFill="1" applyBorder="1" applyAlignment="1" applyProtection="1">
      <alignment horizontal="center" vertical="center"/>
    </xf>
    <xf numFmtId="180" fontId="1" fillId="0" borderId="1" xfId="51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1" xfId="51" applyNumberFormat="1" applyFont="1" applyFill="1" applyBorder="1" applyAlignment="1" applyProtection="1">
      <alignment horizontal="left" vertical="center"/>
    </xf>
    <xf numFmtId="179" fontId="1" fillId="0" borderId="1" xfId="51" applyNumberFormat="1" applyFont="1" applyFill="1" applyBorder="1" applyAlignment="1" applyProtection="1">
      <alignment horizontal="left" vertical="center"/>
    </xf>
    <xf numFmtId="180" fontId="1" fillId="0" borderId="1" xfId="8" applyNumberFormat="1" applyFont="1" applyFill="1" applyBorder="1" applyAlignment="1" applyProtection="1">
      <alignment horizontal="right" vertical="center" wrapText="1"/>
    </xf>
    <xf numFmtId="182" fontId="1" fillId="0" borderId="1" xfId="8" applyNumberFormat="1" applyFont="1" applyFill="1" applyBorder="1" applyAlignment="1" applyProtection="1">
      <alignment horizontal="right" vertical="center" wrapText="1"/>
    </xf>
    <xf numFmtId="182" fontId="1" fillId="0" borderId="1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left" vertical="center"/>
    </xf>
    <xf numFmtId="179" fontId="6" fillId="0" borderId="1" xfId="0" applyNumberFormat="1" applyFont="1" applyFill="1" applyBorder="1" applyAlignment="1" applyProtection="1">
      <alignment horizontal="left" vertical="center"/>
    </xf>
    <xf numFmtId="180" fontId="6" fillId="0" borderId="1" xfId="0" applyNumberFormat="1" applyFont="1" applyFill="1" applyBorder="1" applyAlignment="1" applyProtection="1">
      <alignment horizontal="right" vertical="center"/>
    </xf>
    <xf numFmtId="182" fontId="6" fillId="0" borderId="1" xfId="0" applyNumberFormat="1" applyFont="1" applyFill="1" applyBorder="1" applyAlignment="1" applyProtection="1">
      <alignment horizontal="left" vertical="center"/>
    </xf>
    <xf numFmtId="182" fontId="5" fillId="0" borderId="1" xfId="51" applyNumberFormat="1" applyFont="1" applyFill="1" applyBorder="1" applyAlignment="1" applyProtection="1">
      <alignment horizontal="distributed" vertical="center"/>
    </xf>
    <xf numFmtId="179" fontId="5" fillId="0" borderId="1" xfId="51" applyNumberFormat="1" applyFont="1" applyFill="1" applyBorder="1" applyAlignment="1" applyProtection="1">
      <alignment horizontal="left" vertical="center"/>
    </xf>
    <xf numFmtId="182" fontId="5" fillId="0" borderId="1" xfId="8" applyNumberFormat="1" applyFont="1" applyFill="1" applyBorder="1" applyAlignment="1" applyProtection="1">
      <alignment horizontal="right" vertical="center" wrapText="1"/>
    </xf>
    <xf numFmtId="182" fontId="6" fillId="0" borderId="1" xfId="0" applyNumberFormat="1" applyFont="1" applyFill="1" applyBorder="1" applyAlignment="1" applyProtection="1">
      <alignment horizontal="right"/>
    </xf>
    <xf numFmtId="182" fontId="5" fillId="0" borderId="1" xfId="8" applyNumberFormat="1" applyFont="1" applyFill="1" applyBorder="1" applyAlignment="1" applyProtection="1">
      <alignment vertical="center" wrapText="1"/>
    </xf>
    <xf numFmtId="182" fontId="6" fillId="0" borderId="1" xfId="0" applyNumberFormat="1" applyFont="1" applyFill="1" applyBorder="1" applyAlignment="1" applyProtection="1"/>
    <xf numFmtId="180" fontId="20" fillId="0" borderId="1" xfId="0" applyNumberFormat="1" applyFont="1" applyFill="1" applyBorder="1" applyProtection="1">
      <protection locked="0"/>
    </xf>
    <xf numFmtId="182" fontId="1" fillId="0" borderId="1" xfId="51" applyNumberFormat="1" applyFont="1" applyFill="1" applyBorder="1" applyAlignment="1" applyProtection="1">
      <alignment vertical="center"/>
    </xf>
    <xf numFmtId="182" fontId="1" fillId="0" borderId="1" xfId="8" applyNumberFormat="1" applyFont="1" applyFill="1" applyBorder="1" applyAlignment="1" applyProtection="1">
      <alignment vertical="center" wrapText="1"/>
    </xf>
    <xf numFmtId="182" fontId="6" fillId="0" borderId="1" xfId="51" applyNumberFormat="1" applyFont="1" applyFill="1" applyBorder="1" applyAlignment="1" applyProtection="1">
      <alignment vertical="center"/>
    </xf>
    <xf numFmtId="179" fontId="6" fillId="0" borderId="1" xfId="51" applyNumberFormat="1" applyFont="1" applyFill="1" applyBorder="1" applyAlignment="1" applyProtection="1">
      <alignment horizontal="left" vertical="center"/>
    </xf>
    <xf numFmtId="182" fontId="6" fillId="0" borderId="1" xfId="8" applyNumberFormat="1" applyFont="1" applyFill="1" applyBorder="1" applyAlignment="1" applyProtection="1">
      <alignment horizontal="right" vertical="center" wrapText="1"/>
    </xf>
    <xf numFmtId="182" fontId="6" fillId="0" borderId="1" xfId="8" applyNumberFormat="1" applyFont="1" applyFill="1" applyBorder="1" applyAlignment="1" applyProtection="1">
      <alignment vertical="center" wrapText="1"/>
    </xf>
    <xf numFmtId="182" fontId="6" fillId="0" borderId="1" xfId="0" applyNumberFormat="1" applyFont="1" applyFill="1" applyBorder="1" applyAlignment="1" applyProtection="1">
      <alignment vertical="center"/>
    </xf>
    <xf numFmtId="178" fontId="6" fillId="0" borderId="1" xfId="8" applyNumberFormat="1" applyFont="1" applyFill="1" applyBorder="1" applyAlignment="1" applyProtection="1">
      <alignment vertical="center" wrapText="1"/>
    </xf>
    <xf numFmtId="178" fontId="6" fillId="0" borderId="1" xfId="8" applyNumberFormat="1" applyFont="1" applyFill="1" applyBorder="1" applyAlignment="1" applyProtection="1">
      <alignment vertical="center"/>
    </xf>
    <xf numFmtId="182" fontId="6" fillId="0" borderId="1" xfId="51" applyNumberFormat="1" applyFont="1" applyFill="1" applyBorder="1" applyAlignment="1" applyProtection="1">
      <alignment vertical="center" wrapText="1"/>
    </xf>
    <xf numFmtId="179" fontId="6" fillId="0" borderId="1" xfId="51" applyNumberFormat="1" applyFont="1" applyFill="1" applyBorder="1" applyAlignment="1" applyProtection="1">
      <alignment horizontal="left" vertical="center" wrapText="1"/>
    </xf>
    <xf numFmtId="178" fontId="5" fillId="0" borderId="1" xfId="8" applyNumberFormat="1" applyFont="1" applyFill="1" applyBorder="1" applyAlignment="1" applyProtection="1">
      <alignment vertical="center" wrapText="1"/>
    </xf>
    <xf numFmtId="182" fontId="10" fillId="0" borderId="1" xfId="51" applyNumberFormat="1" applyFont="1" applyFill="1" applyBorder="1" applyAlignment="1" applyProtection="1">
      <alignment vertical="center"/>
    </xf>
    <xf numFmtId="179" fontId="10" fillId="0" borderId="1" xfId="51" applyNumberFormat="1" applyFont="1" applyFill="1" applyBorder="1" applyAlignment="1" applyProtection="1">
      <alignment horizontal="left" vertical="center"/>
    </xf>
    <xf numFmtId="182" fontId="1" fillId="0" borderId="1" xfId="51" applyNumberFormat="1" applyFont="1" applyFill="1" applyBorder="1" applyAlignment="1" applyProtection="1">
      <alignment horizontal="center" vertical="center"/>
    </xf>
    <xf numFmtId="182" fontId="1" fillId="0" borderId="1" xfId="0" applyNumberFormat="1" applyFont="1" applyFill="1" applyBorder="1" applyAlignment="1" applyProtection="1">
      <alignment vertical="center"/>
    </xf>
    <xf numFmtId="180" fontId="6" fillId="0" borderId="0" xfId="51" applyNumberFormat="1" applyFont="1" applyFill="1" applyBorder="1" applyAlignment="1" applyProtection="1">
      <alignment vertical="center" wrapText="1"/>
    </xf>
    <xf numFmtId="179" fontId="6" fillId="0" borderId="0" xfId="51" applyNumberFormat="1" applyFont="1" applyFill="1" applyBorder="1" applyAlignment="1" applyProtection="1">
      <alignment horizontal="left" vertical="center" wrapText="1"/>
    </xf>
    <xf numFmtId="180" fontId="0" fillId="0" borderId="0" xfId="0" applyNumberFormat="1" applyFill="1" applyAlignment="1" applyProtection="1">
      <alignment wrapText="1"/>
    </xf>
    <xf numFmtId="180" fontId="0" fillId="0" borderId="0" xfId="51" applyNumberFormat="1" applyFont="1" applyFill="1" applyBorder="1" applyAlignment="1" applyProtection="1">
      <alignment vertical="center" wrapText="1"/>
    </xf>
    <xf numFmtId="179" fontId="0" fillId="0" borderId="0" xfId="51" applyNumberFormat="1" applyFont="1" applyFill="1" applyBorder="1" applyAlignment="1" applyProtection="1">
      <alignment horizontal="left" vertical="center" wrapText="1"/>
    </xf>
    <xf numFmtId="180" fontId="0" fillId="0" borderId="0" xfId="51" applyNumberFormat="1" applyFont="1" applyFill="1" applyBorder="1" applyAlignment="1" applyProtection="1">
      <alignment horizontal="right" vertical="center" wrapText="1"/>
    </xf>
    <xf numFmtId="180" fontId="0" fillId="0" borderId="0" xfId="0" applyNumberFormat="1" applyFont="1" applyFill="1" applyAlignment="1" applyProtection="1">
      <alignment vertical="center" wrapText="1"/>
      <protection locked="0"/>
    </xf>
    <xf numFmtId="179" fontId="0" fillId="0" borderId="0" xfId="0" applyNumberFormat="1" applyFont="1" applyFill="1" applyAlignment="1" applyProtection="1">
      <alignment horizontal="left" vertical="center" wrapText="1"/>
      <protection locked="0"/>
    </xf>
    <xf numFmtId="180" fontId="0" fillId="0" borderId="0" xfId="0" applyNumberFormat="1" applyFont="1" applyFill="1" applyAlignment="1" applyProtection="1">
      <alignment horizontal="right" vertical="center" wrapText="1"/>
      <protection locked="0"/>
    </xf>
    <xf numFmtId="180" fontId="0" fillId="0" borderId="0" xfId="0" applyNumberFormat="1" applyFill="1" applyAlignment="1" applyProtection="1">
      <alignment horizontal="left"/>
    </xf>
    <xf numFmtId="180" fontId="22" fillId="0" borderId="0" xfId="0" applyNumberFormat="1" applyFont="1" applyFill="1" applyAlignment="1" applyProtection="1">
      <alignment wrapText="1"/>
    </xf>
    <xf numFmtId="180" fontId="20" fillId="0" borderId="12" xfId="51" applyNumberFormat="1" applyFont="1" applyFill="1" applyBorder="1" applyAlignment="1" applyProtection="1">
      <alignment horizontal="distributed" vertical="center" wrapText="1"/>
    </xf>
    <xf numFmtId="180" fontId="20" fillId="0" borderId="3" xfId="51" applyNumberFormat="1" applyFont="1" applyFill="1" applyBorder="1" applyAlignment="1" applyProtection="1">
      <alignment horizontal="distributed" vertical="center" wrapText="1"/>
    </xf>
    <xf numFmtId="180" fontId="20" fillId="0" borderId="3" xfId="0" applyNumberFormat="1" applyFont="1" applyFill="1" applyBorder="1" applyAlignment="1" applyProtection="1">
      <alignment wrapText="1"/>
    </xf>
    <xf numFmtId="9" fontId="1" fillId="0" borderId="1" xfId="0" applyNumberFormat="1" applyFont="1" applyFill="1" applyBorder="1" applyAlignment="1" applyProtection="1">
      <alignment horizontal="right" vertical="center"/>
    </xf>
    <xf numFmtId="182" fontId="1" fillId="0" borderId="1" xfId="51" applyNumberFormat="1" applyFont="1" applyFill="1" applyBorder="1" applyAlignment="1" applyProtection="1">
      <alignment horizontal="left" vertical="center"/>
    </xf>
    <xf numFmtId="9" fontId="6" fillId="0" borderId="1" xfId="0" applyNumberFormat="1" applyFont="1" applyFill="1" applyBorder="1" applyAlignment="1" applyProtection="1">
      <alignment horizontal="right" vertical="center"/>
    </xf>
    <xf numFmtId="180" fontId="6" fillId="0" borderId="1" xfId="8" applyNumberFormat="1" applyFont="1" applyFill="1" applyBorder="1" applyAlignment="1" applyProtection="1">
      <alignment horizontal="right" vertical="center" wrapText="1"/>
    </xf>
    <xf numFmtId="182" fontId="6" fillId="0" borderId="1" xfId="0" applyNumberFormat="1" applyFont="1" applyFill="1" applyBorder="1" applyAlignment="1" applyProtection="1">
      <alignment horizontal="right" vertical="center"/>
    </xf>
    <xf numFmtId="9" fontId="6" fillId="0" borderId="1" xfId="0" applyNumberFormat="1" applyFont="1" applyFill="1" applyBorder="1" applyAlignment="1" applyProtection="1">
      <alignment horizontal="right"/>
    </xf>
    <xf numFmtId="182" fontId="6" fillId="0" borderId="1" xfId="0" applyNumberFormat="1" applyFont="1" applyFill="1" applyBorder="1" applyAlignment="1" applyProtection="1">
      <alignment horizontal="left" vertical="center" wrapText="1"/>
    </xf>
    <xf numFmtId="182" fontId="0" fillId="0" borderId="1" xfId="0" applyNumberFormat="1" applyFont="1" applyFill="1" applyBorder="1" applyAlignment="1" applyProtection="1">
      <alignment horizontal="right"/>
      <protection locked="0"/>
    </xf>
    <xf numFmtId="9" fontId="5" fillId="0" borderId="1" xfId="0" applyNumberFormat="1" applyFont="1" applyFill="1" applyBorder="1" applyAlignment="1" applyProtection="1">
      <alignment horizontal="right" vertical="center"/>
    </xf>
    <xf numFmtId="182" fontId="6" fillId="0" borderId="1" xfId="11" applyNumberFormat="1" applyFont="1" applyFill="1" applyBorder="1" applyAlignment="1" applyProtection="1">
      <alignment vertical="center"/>
    </xf>
    <xf numFmtId="179" fontId="5" fillId="0" borderId="1" xfId="51" applyNumberFormat="1" applyFont="1" applyFill="1" applyBorder="1" applyAlignment="1" applyProtection="1">
      <alignment horizontal="left" vertical="center" wrapText="1"/>
    </xf>
    <xf numFmtId="182" fontId="9" fillId="0" borderId="1" xfId="8" applyNumberFormat="1" applyFont="1" applyFill="1" applyBorder="1" applyAlignment="1" applyProtection="1">
      <alignment horizontal="right" vertical="center" wrapText="1"/>
    </xf>
    <xf numFmtId="180" fontId="6" fillId="0" borderId="26" xfId="51" applyNumberFormat="1" applyFont="1" applyFill="1" applyBorder="1" applyAlignment="1" applyProtection="1">
      <alignment vertical="center" wrapText="1"/>
    </xf>
    <xf numFmtId="180" fontId="0" fillId="0" borderId="0" xfId="0" applyNumberFormat="1" applyFill="1" applyAlignment="1" applyProtection="1">
      <alignment horizontal="right"/>
    </xf>
    <xf numFmtId="180" fontId="2" fillId="0" borderId="0" xfId="0" applyNumberFormat="1" applyFont="1" applyFill="1" applyAlignment="1" applyProtection="1">
      <alignment horizontal="left"/>
      <protection locked="0"/>
    </xf>
    <xf numFmtId="180" fontId="22" fillId="0" borderId="0" xfId="0" applyNumberFormat="1" applyFont="1" applyFill="1" applyAlignment="1">
      <alignment wrapText="1"/>
    </xf>
    <xf numFmtId="180" fontId="0" fillId="0" borderId="2" xfId="0" applyNumberFormat="1" applyFill="1" applyBorder="1" applyAlignment="1">
      <alignment horizontal="right" wrapText="1"/>
    </xf>
    <xf numFmtId="180" fontId="20" fillId="0" borderId="26" xfId="0" applyNumberFormat="1" applyFont="1" applyFill="1" applyBorder="1" applyAlignment="1" applyProtection="1">
      <alignment wrapText="1"/>
    </xf>
    <xf numFmtId="180" fontId="20" fillId="0" borderId="3" xfId="0" applyNumberFormat="1" applyFont="1" applyFill="1" applyBorder="1" applyAlignment="1">
      <alignment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180" fontId="0" fillId="0" borderId="3" xfId="0" applyNumberFormat="1" applyFont="1" applyFill="1" applyBorder="1" applyAlignment="1"/>
    <xf numFmtId="180" fontId="2" fillId="0" borderId="0" xfId="0" applyNumberFormat="1" applyFont="1" applyFill="1" applyAlignment="1" applyProtection="1">
      <alignment horizontal="center" vertical="center" wrapText="1"/>
      <protection locked="0"/>
    </xf>
    <xf numFmtId="180" fontId="2" fillId="0" borderId="0" xfId="0" applyNumberFormat="1" applyFont="1" applyFill="1" applyAlignment="1" applyProtection="1">
      <alignment vertical="center"/>
      <protection locked="0"/>
    </xf>
    <xf numFmtId="180" fontId="2" fillId="0" borderId="0" xfId="0" applyNumberFormat="1" applyFont="1" applyFill="1" applyAlignment="1" applyProtection="1">
      <alignment horizontal="left" vertical="center" wrapText="1"/>
      <protection locked="0"/>
    </xf>
    <xf numFmtId="180" fontId="2" fillId="0" borderId="0" xfId="0" applyNumberFormat="1" applyFont="1" applyFill="1" applyAlignment="1" applyProtection="1">
      <alignment vertical="center" wrapText="1"/>
      <protection locked="0"/>
    </xf>
    <xf numFmtId="18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23" fillId="0" borderId="3" xfId="8" applyNumberFormat="1" applyFont="1" applyFill="1" applyBorder="1" applyAlignment="1" applyProtection="1">
      <alignment horizontal="right" vertical="center" wrapText="1"/>
    </xf>
    <xf numFmtId="180" fontId="6" fillId="0" borderId="0" xfId="0" applyNumberFormat="1" applyFont="1" applyFill="1" applyProtection="1">
      <protection locked="0"/>
    </xf>
    <xf numFmtId="180" fontId="0" fillId="0" borderId="0" xfId="0" applyNumberFormat="1" applyFont="1" applyFill="1" applyAlignment="1" applyProtection="1">
      <alignment horizontal="center" vertical="center" wrapText="1"/>
      <protection locked="0"/>
    </xf>
    <xf numFmtId="180" fontId="10" fillId="0" borderId="0" xfId="0" applyNumberFormat="1" applyFont="1" applyFill="1" applyAlignment="1" applyProtection="1">
      <alignment vertical="center" wrapText="1"/>
      <protection locked="0"/>
    </xf>
    <xf numFmtId="180" fontId="6" fillId="0" borderId="0" xfId="51" applyNumberFormat="1" applyFont="1" applyFill="1" applyAlignment="1" applyProtection="1">
      <alignment vertical="center" wrapText="1"/>
    </xf>
    <xf numFmtId="0" fontId="0" fillId="0" borderId="0" xfId="0" applyFill="1"/>
    <xf numFmtId="182" fontId="0" fillId="0" borderId="0" xfId="8" applyNumberFormat="1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80" fontId="24" fillId="2" borderId="4" xfId="59" applyNumberFormat="1" applyFont="1" applyFill="1" applyBorder="1" applyAlignment="1" applyProtection="1">
      <alignment horizontal="center" vertical="center" wrapText="1"/>
      <protection locked="0"/>
    </xf>
    <xf numFmtId="178" fontId="24" fillId="2" borderId="1" xfId="8" applyNumberFormat="1" applyFont="1" applyFill="1" applyBorder="1" applyAlignment="1" applyProtection="1">
      <alignment horizontal="center" vertical="center" wrapText="1"/>
      <protection locked="0"/>
    </xf>
    <xf numFmtId="177" fontId="24" fillId="2" borderId="1" xfId="45" applyNumberFormat="1" applyFont="1" applyFill="1" applyBorder="1" applyAlignment="1">
      <alignment horizontal="center" vertical="center" wrapText="1"/>
    </xf>
    <xf numFmtId="182" fontId="1" fillId="2" borderId="1" xfId="8" applyNumberFormat="1" applyFont="1" applyFill="1" applyBorder="1" applyAlignment="1">
      <alignment horizontal="center" vertical="center" wrapText="1"/>
    </xf>
    <xf numFmtId="182" fontId="1" fillId="2" borderId="4" xfId="8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82" fontId="1" fillId="2" borderId="6" xfId="8" applyNumberFormat="1" applyFont="1" applyFill="1" applyBorder="1" applyAlignment="1">
      <alignment horizontal="center" vertical="center" wrapText="1"/>
    </xf>
    <xf numFmtId="180" fontId="24" fillId="2" borderId="1" xfId="59" applyNumberFormat="1" applyFont="1" applyFill="1" applyBorder="1" applyAlignment="1" applyProtection="1">
      <alignment horizontal="left" vertical="center"/>
      <protection locked="0"/>
    </xf>
    <xf numFmtId="178" fontId="24" fillId="2" borderId="1" xfId="8" applyNumberFormat="1" applyFont="1" applyFill="1" applyBorder="1" applyAlignment="1">
      <alignment horizontal="center" vertical="center" wrapText="1"/>
    </xf>
    <xf numFmtId="177" fontId="24" fillId="0" borderId="1" xfId="45" applyNumberFormat="1" applyFont="1" applyFill="1" applyBorder="1" applyAlignment="1">
      <alignment horizontal="right" vertical="center" wrapText="1"/>
    </xf>
    <xf numFmtId="182" fontId="24" fillId="2" borderId="1" xfId="8" applyNumberFormat="1" applyFont="1" applyFill="1" applyBorder="1" applyAlignment="1">
      <alignment horizontal="right" vertical="center" wrapText="1"/>
    </xf>
    <xf numFmtId="178" fontId="24" fillId="0" borderId="1" xfId="8" applyNumberFormat="1" applyFont="1" applyFill="1" applyBorder="1" applyAlignment="1">
      <alignment horizontal="center" vertical="center" wrapText="1"/>
    </xf>
    <xf numFmtId="180" fontId="26" fillId="2" borderId="1" xfId="59" applyNumberFormat="1" applyFont="1" applyFill="1" applyBorder="1" applyAlignment="1" applyProtection="1">
      <alignment horizontal="left" vertical="center"/>
      <protection locked="0"/>
    </xf>
    <xf numFmtId="41" fontId="0" fillId="2" borderId="8" xfId="0" applyNumberFormat="1" applyFont="1" applyFill="1" applyBorder="1" applyAlignment="1" applyProtection="1">
      <alignment horizontal="right" vertical="center"/>
    </xf>
    <xf numFmtId="10" fontId="0" fillId="2" borderId="1" xfId="11" applyNumberFormat="1" applyFont="1" applyFill="1" applyBorder="1" applyAlignment="1" applyProtection="1">
      <alignment vertical="center" wrapText="1"/>
    </xf>
    <xf numFmtId="182" fontId="0" fillId="2" borderId="1" xfId="8" applyNumberFormat="1" applyFont="1" applyFill="1" applyBorder="1" applyAlignment="1">
      <alignment horizontal="right" vertical="center"/>
    </xf>
    <xf numFmtId="180" fontId="26" fillId="2" borderId="1" xfId="59" applyNumberFormat="1" applyFont="1" applyFill="1" applyBorder="1" applyAlignment="1" applyProtection="1">
      <alignment vertical="center"/>
      <protection locked="0"/>
    </xf>
    <xf numFmtId="178" fontId="0" fillId="0" borderId="1" xfId="8" applyNumberFormat="1" applyFont="1" applyFill="1" applyBorder="1" applyAlignment="1">
      <alignment horizontal="center" vertical="center" wrapText="1"/>
    </xf>
    <xf numFmtId="182" fontId="25" fillId="2" borderId="1" xfId="8" applyNumberFormat="1" applyFont="1" applyFill="1" applyBorder="1" applyAlignment="1">
      <alignment horizontal="right" vertical="center"/>
    </xf>
    <xf numFmtId="10" fontId="0" fillId="2" borderId="1" xfId="11" applyNumberFormat="1" applyFont="1" applyFill="1" applyBorder="1" applyAlignment="1">
      <alignment vertical="center" wrapText="1"/>
    </xf>
    <xf numFmtId="10" fontId="0" fillId="2" borderId="1" xfId="11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/>
    </xf>
    <xf numFmtId="178" fontId="25" fillId="0" borderId="1" xfId="8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right"/>
    </xf>
    <xf numFmtId="180" fontId="14" fillId="2" borderId="1" xfId="59" applyNumberFormat="1" applyFont="1" applyFill="1" applyBorder="1" applyAlignment="1" applyProtection="1">
      <alignment horizontal="center" vertical="center"/>
      <protection locked="0"/>
    </xf>
    <xf numFmtId="178" fontId="27" fillId="2" borderId="1" xfId="8" applyNumberFormat="1" applyFont="1" applyFill="1" applyBorder="1" applyAlignment="1">
      <alignment horizontal="center" vertical="center"/>
    </xf>
    <xf numFmtId="178" fontId="15" fillId="0" borderId="1" xfId="8" applyNumberFormat="1" applyFont="1" applyFill="1" applyBorder="1" applyAlignment="1">
      <alignment horizontal="center" vertical="center" wrapText="1"/>
    </xf>
    <xf numFmtId="177" fontId="15" fillId="0" borderId="1" xfId="45" applyNumberFormat="1" applyFont="1" applyFill="1" applyBorder="1" applyAlignment="1">
      <alignment horizontal="right" vertical="center" wrapText="1"/>
    </xf>
    <xf numFmtId="182" fontId="15" fillId="0" borderId="1" xfId="8" applyNumberFormat="1" applyFont="1" applyFill="1" applyBorder="1" applyAlignment="1">
      <alignment horizontal="center" vertical="center" wrapText="1"/>
    </xf>
    <xf numFmtId="178" fontId="15" fillId="2" borderId="1" xfId="8" applyNumberFormat="1" applyFont="1" applyFill="1" applyBorder="1" applyAlignment="1">
      <alignment horizontal="right" vertical="center" wrapText="1"/>
    </xf>
    <xf numFmtId="178" fontId="15" fillId="0" borderId="1" xfId="8" applyNumberFormat="1" applyFont="1" applyFill="1" applyBorder="1" applyAlignment="1">
      <alignment horizontal="right" vertical="center" wrapText="1"/>
    </xf>
    <xf numFmtId="182" fontId="0" fillId="0" borderId="0" xfId="8" applyNumberFormat="1" applyFont="1" applyFill="1" applyAlignment="1">
      <alignment horizontal="center"/>
    </xf>
    <xf numFmtId="177" fontId="24" fillId="2" borderId="4" xfId="45" applyNumberFormat="1" applyFont="1" applyFill="1" applyBorder="1" applyAlignment="1">
      <alignment horizontal="center" vertical="center" wrapText="1"/>
    </xf>
    <xf numFmtId="43" fontId="1" fillId="2" borderId="1" xfId="8" applyFont="1" applyFill="1" applyBorder="1" applyAlignment="1">
      <alignment horizontal="center" vertical="center" wrapText="1"/>
    </xf>
    <xf numFmtId="43" fontId="1" fillId="2" borderId="4" xfId="8" applyFont="1" applyFill="1" applyBorder="1" applyAlignment="1">
      <alignment horizontal="center" vertical="center" wrapText="1"/>
    </xf>
    <xf numFmtId="177" fontId="1" fillId="2" borderId="4" xfId="45" applyNumberFormat="1" applyFont="1" applyFill="1" applyBorder="1" applyAlignment="1">
      <alignment horizontal="center" vertical="center" wrapText="1"/>
    </xf>
    <xf numFmtId="0" fontId="0" fillId="0" borderId="0" xfId="0" applyBorder="1"/>
    <xf numFmtId="177" fontId="24" fillId="2" borderId="6" xfId="45" applyNumberFormat="1" applyFont="1" applyFill="1" applyBorder="1" applyAlignment="1">
      <alignment horizontal="center" vertical="center" wrapText="1"/>
    </xf>
    <xf numFmtId="43" fontId="1" fillId="2" borderId="6" xfId="8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8" fontId="24" fillId="2" borderId="1" xfId="8" applyNumberFormat="1" applyFont="1" applyFill="1" applyBorder="1" applyAlignment="1">
      <alignment horizontal="right" vertical="center" wrapText="1"/>
    </xf>
    <xf numFmtId="9" fontId="24" fillId="2" borderId="1" xfId="11" applyFont="1" applyFill="1" applyBorder="1" applyAlignment="1">
      <alignment horizontal="right" vertical="center" wrapText="1"/>
    </xf>
    <xf numFmtId="178" fontId="2" fillId="0" borderId="1" xfId="0" applyNumberFormat="1" applyFont="1" applyBorder="1" applyAlignment="1">
      <alignment wrapText="1"/>
    </xf>
    <xf numFmtId="0" fontId="2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8" fontId="0" fillId="2" borderId="1" xfId="8" applyNumberFormat="1" applyFont="1" applyFill="1" applyBorder="1" applyAlignment="1">
      <alignment horizontal="center" vertical="center"/>
    </xf>
    <xf numFmtId="9" fontId="26" fillId="2" borderId="1" xfId="1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43" fontId="0" fillId="2" borderId="1" xfId="8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43" fontId="15" fillId="0" borderId="1" xfId="8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3" fontId="15" fillId="0" borderId="1" xfId="8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43" fontId="0" fillId="0" borderId="0" xfId="8" applyFont="1" applyFill="1" applyBorder="1" applyAlignment="1">
      <alignment vertical="center"/>
    </xf>
    <xf numFmtId="0" fontId="0" fillId="0" borderId="0" xfId="0" applyFill="1" applyBorder="1"/>
    <xf numFmtId="0" fontId="31" fillId="0" borderId="0" xfId="0" applyFont="1" applyFill="1" applyBorder="1" applyAlignment="1">
      <alignment horizontal="left" wrapText="1"/>
    </xf>
    <xf numFmtId="0" fontId="2" fillId="0" borderId="0" xfId="0" applyFont="1" applyFill="1" applyBorder="1"/>
    <xf numFmtId="43" fontId="2" fillId="0" borderId="0" xfId="8" applyFont="1" applyFill="1" applyBorder="1" applyAlignment="1"/>
    <xf numFmtId="43" fontId="22" fillId="0" borderId="0" xfId="8" applyFont="1" applyFill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0" fillId="0" borderId="0" xfId="0" applyFont="1" applyBorder="1" applyAlignment="1">
      <alignment horizontal="right" vertical="center" wrapText="1"/>
    </xf>
    <xf numFmtId="43" fontId="32" fillId="2" borderId="1" xfId="8" applyFont="1" applyFill="1" applyBorder="1" applyAlignment="1">
      <alignment vertical="center"/>
    </xf>
    <xf numFmtId="43" fontId="33" fillId="2" borderId="1" xfId="8" applyFont="1" applyFill="1" applyBorder="1" applyAlignment="1">
      <alignment vertical="center"/>
    </xf>
    <xf numFmtId="0" fontId="34" fillId="0" borderId="1" xfId="0" applyFont="1" applyFill="1" applyBorder="1" applyAlignment="1">
      <alignment horizontal="left" vertical="center" wrapText="1"/>
    </xf>
    <xf numFmtId="43" fontId="2" fillId="0" borderId="1" xfId="8" applyFont="1" applyFill="1" applyBorder="1" applyAlignment="1">
      <alignment vertical="center"/>
    </xf>
    <xf numFmtId="0" fontId="31" fillId="0" borderId="1" xfId="0" applyNumberFormat="1" applyFont="1" applyFill="1" applyBorder="1" applyAlignment="1" applyProtection="1">
      <alignment horizontal="left" vertical="center" wrapText="1"/>
    </xf>
    <xf numFmtId="43" fontId="2" fillId="2" borderId="1" xfId="8" applyFont="1" applyFill="1" applyBorder="1" applyAlignment="1">
      <alignment vertical="center"/>
    </xf>
    <xf numFmtId="3" fontId="34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0" xfId="8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31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43" fontId="2" fillId="0" borderId="0" xfId="8" applyFont="1" applyFill="1" applyBorder="1" applyAlignment="1">
      <alignment horizontal="center" vertical="center"/>
    </xf>
    <xf numFmtId="43" fontId="2" fillId="2" borderId="1" xfId="8" applyFont="1" applyFill="1" applyBorder="1" applyAlignment="1" applyProtection="1">
      <alignment vertical="center"/>
    </xf>
    <xf numFmtId="43" fontId="35" fillId="0" borderId="1" xfId="8" applyFont="1" applyFill="1" applyBorder="1" applyAlignment="1">
      <alignment vertical="center"/>
    </xf>
    <xf numFmtId="43" fontId="35" fillId="2" borderId="1" xfId="8" applyFont="1" applyFill="1" applyBorder="1" applyAlignment="1" applyProtection="1">
      <alignment vertical="center"/>
    </xf>
    <xf numFmtId="43" fontId="2" fillId="0" borderId="0" xfId="0" applyNumberFormat="1" applyFont="1" applyFill="1" applyBorder="1" applyAlignment="1">
      <alignment horizontal="left" vertical="center"/>
    </xf>
    <xf numFmtId="43" fontId="2" fillId="0" borderId="1" xfId="8" applyFont="1" applyFill="1" applyBorder="1" applyAlignment="1" applyProtection="1">
      <alignment vertical="center"/>
    </xf>
    <xf numFmtId="43" fontId="31" fillId="0" borderId="1" xfId="8" applyFont="1" applyFill="1" applyBorder="1" applyAlignment="1" applyProtection="1">
      <alignment horizontal="left" vertical="center" wrapText="1"/>
    </xf>
    <xf numFmtId="43" fontId="33" fillId="0" borderId="1" xfId="8" applyFont="1" applyFill="1" applyBorder="1" applyAlignment="1" applyProtection="1">
      <alignment vertical="center"/>
    </xf>
    <xf numFmtId="43" fontId="33" fillId="0" borderId="1" xfId="8" applyFont="1" applyFill="1" applyBorder="1" applyAlignment="1">
      <alignment vertical="center"/>
    </xf>
    <xf numFmtId="3" fontId="36" fillId="0" borderId="1" xfId="0" applyNumberFormat="1" applyFont="1" applyFill="1" applyBorder="1" applyAlignment="1" applyProtection="1">
      <alignment horizontal="left" vertical="center" wrapText="1"/>
    </xf>
    <xf numFmtId="43" fontId="2" fillId="0" borderId="0" xfId="8" applyFont="1" applyFill="1" applyBorder="1" applyAlignment="1">
      <alignment vertical="center"/>
    </xf>
    <xf numFmtId="0" fontId="31" fillId="0" borderId="1" xfId="0" applyFont="1" applyFill="1" applyBorder="1" applyAlignment="1">
      <alignment horizontal="left" wrapText="1"/>
    </xf>
    <xf numFmtId="43" fontId="33" fillId="0" borderId="1" xfId="8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/>
    </xf>
    <xf numFmtId="43" fontId="33" fillId="2" borderId="1" xfId="8" applyFont="1" applyFill="1" applyBorder="1" applyAlignment="1" applyProtection="1">
      <alignment vertical="center"/>
    </xf>
    <xf numFmtId="43" fontId="2" fillId="0" borderId="0" xfId="8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3" fontId="31" fillId="0" borderId="0" xfId="0" applyNumberFormat="1" applyFont="1" applyFill="1" applyBorder="1" applyAlignment="1" applyProtection="1">
      <alignment horizontal="left" vertical="center" wrapText="1"/>
    </xf>
    <xf numFmtId="43" fontId="33" fillId="0" borderId="0" xfId="8" applyFont="1" applyFill="1" applyBorder="1" applyAlignment="1" applyProtection="1">
      <alignment vertical="center"/>
    </xf>
    <xf numFmtId="43" fontId="31" fillId="0" borderId="0" xfId="8" applyFont="1" applyFill="1" applyBorder="1" applyAlignment="1" applyProtection="1">
      <alignment horizontal="left" vertical="center" wrapText="1"/>
    </xf>
    <xf numFmtId="3" fontId="36" fillId="0" borderId="0" xfId="0" applyNumberFormat="1" applyFont="1" applyFill="1" applyBorder="1" applyAlignment="1" applyProtection="1">
      <alignment horizontal="left" vertical="center" wrapText="1"/>
    </xf>
    <xf numFmtId="0" fontId="33" fillId="0" borderId="0" xfId="0" applyNumberFormat="1" applyFont="1" applyFill="1" applyBorder="1" applyAlignment="1" applyProtection="1">
      <alignment horizontal="center" vertical="center"/>
    </xf>
    <xf numFmtId="43" fontId="2" fillId="0" borderId="0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3" fontId="33" fillId="0" borderId="0" xfId="8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43" fontId="2" fillId="0" borderId="0" xfId="8" applyFont="1" applyFill="1" applyBorder="1" applyAlignment="1">
      <alignment wrapText="1"/>
    </xf>
    <xf numFmtId="181" fontId="2" fillId="0" borderId="0" xfId="11" applyNumberFormat="1" applyFont="1" applyFill="1" applyBorder="1" applyAlignment="1"/>
    <xf numFmtId="0" fontId="33" fillId="0" borderId="0" xfId="0" applyFont="1" applyFill="1" applyBorder="1" applyAlignment="1">
      <alignment horizontal="left" vertical="center"/>
    </xf>
    <xf numFmtId="43" fontId="29" fillId="2" borderId="1" xfId="8" applyFont="1" applyFill="1" applyBorder="1" applyAlignment="1">
      <alignment vertical="center"/>
    </xf>
    <xf numFmtId="183" fontId="37" fillId="0" borderId="0" xfId="0" applyNumberFormat="1" applyFont="1" applyBorder="1"/>
    <xf numFmtId="183" fontId="38" fillId="0" borderId="0" xfId="0" applyNumberFormat="1" applyFont="1" applyBorder="1" applyAlignment="1">
      <alignment vertical="center"/>
    </xf>
    <xf numFmtId="183" fontId="39" fillId="0" borderId="0" xfId="0" applyNumberFormat="1" applyFont="1" applyAlignment="1">
      <alignment vertical="center"/>
    </xf>
    <xf numFmtId="183" fontId="40" fillId="0" borderId="0" xfId="0" applyNumberFormat="1" applyFont="1" applyAlignment="1">
      <alignment vertical="center"/>
    </xf>
    <xf numFmtId="183" fontId="41" fillId="0" borderId="0" xfId="0" applyNumberFormat="1" applyFont="1" applyAlignment="1">
      <alignment vertical="center"/>
    </xf>
    <xf numFmtId="183" fontId="38" fillId="0" borderId="0" xfId="0" applyNumberFormat="1" applyFont="1" applyAlignment="1">
      <alignment vertical="center"/>
    </xf>
    <xf numFmtId="183" fontId="42" fillId="0" borderId="0" xfId="0" applyNumberFormat="1" applyFont="1" applyAlignment="1">
      <alignment vertical="center"/>
    </xf>
    <xf numFmtId="183" fontId="37" fillId="0" borderId="0" xfId="0" applyNumberFormat="1" applyFont="1" applyBorder="1" applyAlignment="1">
      <alignment horizontal="center"/>
    </xf>
    <xf numFmtId="177" fontId="37" fillId="0" borderId="0" xfId="0" applyNumberFormat="1" applyFont="1" applyAlignment="1">
      <alignment horizontal="center"/>
    </xf>
    <xf numFmtId="177" fontId="43" fillId="0" borderId="0" xfId="0" applyNumberFormat="1" applyFont="1" applyFill="1" applyAlignment="1">
      <alignment horizontal="center"/>
    </xf>
    <xf numFmtId="177" fontId="44" fillId="0" borderId="0" xfId="0" applyNumberFormat="1" applyFont="1" applyFill="1" applyAlignment="1">
      <alignment horizontal="center"/>
    </xf>
    <xf numFmtId="181" fontId="44" fillId="0" borderId="0" xfId="0" applyNumberFormat="1" applyFont="1" applyAlignment="1">
      <alignment horizontal="center"/>
    </xf>
    <xf numFmtId="183" fontId="37" fillId="0" borderId="0" xfId="0" applyNumberFormat="1" applyFont="1" applyAlignment="1">
      <alignment horizontal="center"/>
    </xf>
    <xf numFmtId="183" fontId="37" fillId="0" borderId="0" xfId="0" applyNumberFormat="1" applyFont="1"/>
    <xf numFmtId="183" fontId="2" fillId="0" borderId="0" xfId="0" applyNumberFormat="1" applyFont="1" applyBorder="1" applyAlignment="1">
      <alignment vertical="center"/>
    </xf>
    <xf numFmtId="177" fontId="37" fillId="0" borderId="0" xfId="0" applyNumberFormat="1" applyFont="1" applyFill="1" applyAlignment="1">
      <alignment horizontal="center"/>
    </xf>
    <xf numFmtId="183" fontId="45" fillId="0" borderId="0" xfId="0" applyNumberFormat="1" applyFont="1" applyBorder="1" applyAlignment="1">
      <alignment horizontal="center"/>
    </xf>
    <xf numFmtId="10" fontId="37" fillId="0" borderId="28" xfId="0" applyNumberFormat="1" applyFont="1" applyBorder="1" applyAlignment="1">
      <alignment horizontal="center"/>
    </xf>
    <xf numFmtId="177" fontId="37" fillId="0" borderId="0" xfId="0" applyNumberFormat="1" applyFont="1" applyBorder="1" applyAlignment="1">
      <alignment horizontal="center"/>
    </xf>
    <xf numFmtId="177" fontId="37" fillId="0" borderId="0" xfId="0" applyNumberFormat="1" applyFont="1" applyFill="1" applyBorder="1" applyAlignment="1">
      <alignment horizontal="center"/>
    </xf>
    <xf numFmtId="177" fontId="44" fillId="0" borderId="0" xfId="0" applyNumberFormat="1" applyFont="1" applyFill="1" applyBorder="1" applyAlignment="1">
      <alignment horizontal="center"/>
    </xf>
    <xf numFmtId="181" fontId="44" fillId="0" borderId="0" xfId="0" applyNumberFormat="1" applyFont="1" applyBorder="1" applyAlignment="1">
      <alignment horizontal="center"/>
    </xf>
    <xf numFmtId="183" fontId="0" fillId="0" borderId="28" xfId="0" applyNumberFormat="1" applyFont="1" applyBorder="1" applyAlignment="1">
      <alignment horizontal="right"/>
    </xf>
    <xf numFmtId="183" fontId="46" fillId="0" borderId="29" xfId="0" applyNumberFormat="1" applyFont="1" applyBorder="1" applyAlignment="1">
      <alignment horizontal="center" vertical="center"/>
    </xf>
    <xf numFmtId="177" fontId="46" fillId="0" borderId="30" xfId="0" applyNumberFormat="1" applyFont="1" applyFill="1" applyBorder="1" applyAlignment="1">
      <alignment horizontal="center" vertical="center" wrapText="1"/>
    </xf>
    <xf numFmtId="177" fontId="46" fillId="0" borderId="29" xfId="0" applyNumberFormat="1" applyFont="1" applyFill="1" applyBorder="1" applyAlignment="1">
      <alignment horizontal="center" vertical="center" wrapText="1"/>
    </xf>
    <xf numFmtId="181" fontId="46" fillId="0" borderId="30" xfId="0" applyNumberFormat="1" applyFont="1" applyFill="1" applyBorder="1" applyAlignment="1">
      <alignment horizontal="center" vertical="center" wrapText="1"/>
    </xf>
    <xf numFmtId="10" fontId="46" fillId="0" borderId="31" xfId="0" applyNumberFormat="1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177" fontId="46" fillId="0" borderId="5" xfId="0" applyNumberFormat="1" applyFont="1" applyFill="1" applyBorder="1" applyAlignment="1">
      <alignment horizontal="center" vertical="center" wrapText="1"/>
    </xf>
    <xf numFmtId="177" fontId="46" fillId="0" borderId="6" xfId="0" applyNumberFormat="1" applyFont="1" applyFill="1" applyBorder="1" applyAlignment="1">
      <alignment horizontal="center" vertical="center" wrapText="1"/>
    </xf>
    <xf numFmtId="181" fontId="46" fillId="0" borderId="6" xfId="0" applyNumberFormat="1" applyFont="1" applyFill="1" applyBorder="1" applyAlignment="1">
      <alignment horizontal="center" vertical="center" wrapText="1"/>
    </xf>
    <xf numFmtId="0" fontId="46" fillId="0" borderId="2" xfId="0" applyFont="1" applyBorder="1" applyAlignment="1">
      <alignment vertical="center"/>
    </xf>
    <xf numFmtId="183" fontId="46" fillId="0" borderId="9" xfId="0" applyNumberFormat="1" applyFont="1" applyBorder="1" applyAlignment="1">
      <alignment horizontal="left" vertical="center"/>
    </xf>
    <xf numFmtId="182" fontId="46" fillId="0" borderId="1" xfId="21" applyNumberFormat="1" applyFont="1" applyFill="1" applyBorder="1" applyAlignment="1">
      <alignment horizontal="right" vertical="center" wrapText="1"/>
    </xf>
    <xf numFmtId="181" fontId="46" fillId="0" borderId="6" xfId="21" applyNumberFormat="1" applyFont="1" applyBorder="1" applyAlignment="1">
      <alignment horizontal="right" vertical="center" wrapText="1"/>
    </xf>
    <xf numFmtId="183" fontId="47" fillId="0" borderId="0" xfId="0" applyNumberFormat="1" applyFont="1" applyBorder="1" applyAlignment="1">
      <alignment vertical="center" wrapText="1"/>
    </xf>
    <xf numFmtId="183" fontId="1" fillId="0" borderId="9" xfId="0" applyNumberFormat="1" applyFont="1" applyBorder="1" applyAlignment="1">
      <alignment horizontal="left" vertical="center"/>
    </xf>
    <xf numFmtId="177" fontId="1" fillId="0" borderId="1" xfId="21" applyNumberFormat="1" applyFont="1" applyBorder="1" applyAlignment="1">
      <alignment horizontal="right" vertical="center" wrapText="1"/>
    </xf>
    <xf numFmtId="181" fontId="46" fillId="0" borderId="1" xfId="21" applyNumberFormat="1" applyFont="1" applyBorder="1" applyAlignment="1">
      <alignment horizontal="right" vertical="center" wrapText="1"/>
    </xf>
    <xf numFmtId="10" fontId="47" fillId="0" borderId="3" xfId="0" applyNumberFormat="1" applyFont="1" applyBorder="1" applyAlignment="1">
      <alignment vertical="center" wrapText="1"/>
    </xf>
    <xf numFmtId="183" fontId="0" fillId="0" borderId="8" xfId="0" applyNumberFormat="1" applyFont="1" applyBorder="1" applyAlignment="1">
      <alignment horizontal="left" vertical="center"/>
    </xf>
    <xf numFmtId="177" fontId="0" fillId="0" borderId="5" xfId="21" applyNumberFormat="1" applyFont="1" applyBorder="1" applyAlignment="1">
      <alignment horizontal="right" vertical="center" wrapText="1"/>
    </xf>
    <xf numFmtId="177" fontId="0" fillId="0" borderId="5" xfId="21" applyNumberFormat="1" applyFont="1" applyFill="1" applyBorder="1" applyAlignment="1">
      <alignment horizontal="right" vertical="center" wrapText="1"/>
    </xf>
    <xf numFmtId="181" fontId="46" fillId="0" borderId="5" xfId="21" applyNumberFormat="1" applyFont="1" applyBorder="1" applyAlignment="1">
      <alignment horizontal="right" vertical="center" wrapText="1"/>
    </xf>
    <xf numFmtId="10" fontId="47" fillId="0" borderId="0" xfId="0" applyNumberFormat="1" applyFont="1" applyBorder="1" applyAlignment="1">
      <alignment vertical="center" wrapText="1"/>
    </xf>
    <xf numFmtId="181" fontId="0" fillId="0" borderId="5" xfId="21" applyNumberFormat="1" applyFont="1" applyFill="1" applyBorder="1" applyAlignment="1">
      <alignment horizontal="right" vertical="center" wrapText="1"/>
    </xf>
    <xf numFmtId="177" fontId="0" fillId="0" borderId="0" xfId="21" applyNumberFormat="1" applyFont="1" applyBorder="1" applyAlignment="1">
      <alignment horizontal="right" vertical="center" wrapText="1"/>
    </xf>
    <xf numFmtId="183" fontId="41" fillId="0" borderId="0" xfId="0" applyNumberFormat="1" applyFont="1" applyBorder="1" applyAlignment="1">
      <alignment vertical="center"/>
    </xf>
    <xf numFmtId="183" fontId="0" fillId="0" borderId="11" xfId="0" applyNumberFormat="1" applyFont="1" applyBorder="1" applyAlignment="1">
      <alignment horizontal="left" vertical="center"/>
    </xf>
    <xf numFmtId="177" fontId="0" fillId="0" borderId="6" xfId="21" applyNumberFormat="1" applyFont="1" applyBorder="1" applyAlignment="1">
      <alignment horizontal="right" vertical="center" wrapText="1"/>
    </xf>
    <xf numFmtId="177" fontId="0" fillId="0" borderId="6" xfId="21" applyNumberFormat="1" applyFont="1" applyFill="1" applyBorder="1" applyAlignment="1">
      <alignment horizontal="right" vertical="center" wrapText="1"/>
    </xf>
    <xf numFmtId="177" fontId="1" fillId="0" borderId="1" xfId="21" applyNumberFormat="1" applyFont="1" applyFill="1" applyBorder="1" applyAlignment="1">
      <alignment horizontal="right" vertical="center" wrapText="1"/>
    </xf>
    <xf numFmtId="183" fontId="47" fillId="0" borderId="3" xfId="0" applyNumberFormat="1" applyFont="1" applyBorder="1" applyAlignment="1">
      <alignment vertical="center"/>
    </xf>
    <xf numFmtId="177" fontId="0" fillId="0" borderId="8" xfId="21" applyNumberFormat="1" applyFont="1" applyBorder="1" applyAlignment="1">
      <alignment horizontal="right" vertical="center" wrapText="1"/>
    </xf>
    <xf numFmtId="41" fontId="0" fillId="0" borderId="8" xfId="0" applyNumberFormat="1" applyFont="1" applyFill="1" applyBorder="1" applyAlignment="1">
      <alignment horizontal="right" vertical="center"/>
    </xf>
    <xf numFmtId="41" fontId="48" fillId="0" borderId="8" xfId="0" applyNumberFormat="1" applyFont="1" applyFill="1" applyBorder="1" applyAlignment="1">
      <alignment horizontal="right" vertical="center"/>
    </xf>
    <xf numFmtId="183" fontId="47" fillId="0" borderId="26" xfId="0" applyNumberFormat="1" applyFont="1" applyBorder="1" applyAlignment="1">
      <alignment vertical="center" wrapText="1"/>
    </xf>
    <xf numFmtId="41" fontId="0" fillId="0" borderId="8" xfId="0" applyNumberFormat="1" applyFont="1" applyFill="1" applyBorder="1" applyAlignment="1">
      <alignment vertical="center"/>
    </xf>
    <xf numFmtId="41" fontId="0" fillId="0" borderId="5" xfId="0" applyNumberFormat="1" applyFont="1" applyFill="1" applyBorder="1" applyAlignment="1">
      <alignment vertical="center"/>
    </xf>
    <xf numFmtId="181" fontId="0" fillId="0" borderId="6" xfId="21" applyNumberFormat="1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wrapText="1"/>
    </xf>
    <xf numFmtId="183" fontId="46" fillId="0" borderId="3" xfId="0" applyNumberFormat="1" applyFont="1" applyBorder="1" applyAlignment="1">
      <alignment horizontal="left" vertical="center"/>
    </xf>
    <xf numFmtId="182" fontId="46" fillId="0" borderId="1" xfId="21" applyNumberFormat="1" applyFont="1" applyBorder="1" applyAlignment="1">
      <alignment horizontal="right" vertical="center" wrapText="1"/>
    </xf>
    <xf numFmtId="183" fontId="49" fillId="0" borderId="3" xfId="0" applyNumberFormat="1" applyFont="1" applyFill="1" applyBorder="1" applyAlignment="1">
      <alignment vertical="center"/>
    </xf>
    <xf numFmtId="182" fontId="46" fillId="0" borderId="6" xfId="21" applyNumberFormat="1" applyFont="1" applyBorder="1" applyAlignment="1">
      <alignment horizontal="right" vertical="center" wrapText="1"/>
    </xf>
    <xf numFmtId="182" fontId="46" fillId="0" borderId="6" xfId="21" applyNumberFormat="1" applyFont="1" applyFill="1" applyBorder="1" applyAlignment="1">
      <alignment horizontal="right" vertical="center" wrapText="1"/>
    </xf>
    <xf numFmtId="183" fontId="49" fillId="0" borderId="2" xfId="0" applyNumberFormat="1" applyFont="1" applyBorder="1" applyAlignment="1">
      <alignment vertical="center"/>
    </xf>
    <xf numFmtId="183" fontId="46" fillId="0" borderId="2" xfId="0" applyNumberFormat="1" applyFont="1" applyBorder="1" applyAlignment="1">
      <alignment horizontal="left" vertical="center"/>
    </xf>
    <xf numFmtId="181" fontId="46" fillId="0" borderId="6" xfId="21" applyNumberFormat="1" applyFont="1" applyFill="1" applyBorder="1" applyAlignment="1">
      <alignment horizontal="right" vertical="center" wrapText="1"/>
    </xf>
    <xf numFmtId="183" fontId="49" fillId="0" borderId="2" xfId="0" applyNumberFormat="1" applyFont="1" applyFill="1" applyBorder="1" applyAlignment="1">
      <alignment vertical="center" wrapText="1"/>
    </xf>
    <xf numFmtId="183" fontId="49" fillId="0" borderId="2" xfId="0" applyNumberFormat="1" applyFont="1" applyFill="1" applyBorder="1" applyAlignment="1">
      <alignment vertical="center"/>
    </xf>
    <xf numFmtId="183" fontId="46" fillId="0" borderId="32" xfId="0" applyNumberFormat="1" applyFont="1" applyBorder="1" applyAlignment="1">
      <alignment horizontal="left" vertical="center"/>
    </xf>
    <xf numFmtId="182" fontId="46" fillId="0" borderId="33" xfId="21" applyNumberFormat="1" applyFont="1" applyBorder="1" applyAlignment="1">
      <alignment horizontal="right" vertical="center" wrapText="1"/>
    </xf>
    <xf numFmtId="182" fontId="46" fillId="0" borderId="33" xfId="21" applyNumberFormat="1" applyFont="1" applyFill="1" applyBorder="1" applyAlignment="1">
      <alignment horizontal="right" vertical="center" wrapText="1"/>
    </xf>
    <xf numFmtId="183" fontId="49" fillId="0" borderId="0" xfId="0" applyNumberFormat="1" applyFont="1" applyFill="1" applyBorder="1" applyAlignment="1">
      <alignment vertical="center" wrapText="1"/>
    </xf>
    <xf numFmtId="183" fontId="46" fillId="0" borderId="34" xfId="0" applyNumberFormat="1" applyFont="1" applyBorder="1" applyAlignment="1">
      <alignment horizontal="center" vertical="center"/>
    </xf>
    <xf numFmtId="182" fontId="46" fillId="0" borderId="35" xfId="21" applyNumberFormat="1" applyFont="1" applyBorder="1" applyAlignment="1">
      <alignment horizontal="right" vertical="center" wrapText="1"/>
    </xf>
    <xf numFmtId="181" fontId="46" fillId="0" borderId="35" xfId="21" applyNumberFormat="1" applyFont="1" applyBorder="1" applyAlignment="1">
      <alignment horizontal="right" vertical="center" wrapText="1"/>
    </xf>
    <xf numFmtId="181" fontId="38" fillId="0" borderId="36" xfId="0" applyNumberFormat="1" applyFont="1" applyBorder="1" applyAlignment="1">
      <alignment vertical="center" wrapText="1"/>
    </xf>
    <xf numFmtId="183" fontId="37" fillId="0" borderId="0" xfId="0" applyNumberFormat="1" applyFont="1" applyFill="1" applyBorder="1" applyAlignment="1">
      <alignment horizontal="center"/>
    </xf>
    <xf numFmtId="181" fontId="44" fillId="0" borderId="0" xfId="0" applyNumberFormat="1" applyFont="1" applyFill="1" applyAlignment="1">
      <alignment horizontal="center"/>
    </xf>
    <xf numFmtId="183" fontId="37" fillId="0" borderId="31" xfId="0" applyNumberFormat="1" applyFont="1" applyFill="1" applyBorder="1" applyAlignment="1">
      <alignment horizontal="left"/>
    </xf>
    <xf numFmtId="183" fontId="37" fillId="0" borderId="0" xfId="0" applyNumberFormat="1" applyFont="1" applyAlignment="1">
      <alignment horizontal="left"/>
    </xf>
    <xf numFmtId="183" fontId="37" fillId="0" borderId="0" xfId="0" applyNumberFormat="1" applyFont="1" applyFill="1" applyAlignment="1">
      <alignment horizontal="left"/>
    </xf>
    <xf numFmtId="183" fontId="37" fillId="0" borderId="0" xfId="0" applyNumberFormat="1" applyFont="1" applyBorder="1" applyAlignment="1">
      <alignment horizontal="left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50" fillId="0" borderId="0" xfId="0" applyFont="1" applyFill="1" applyProtection="1">
      <protection locked="0"/>
    </xf>
    <xf numFmtId="0" fontId="50" fillId="0" borderId="0" xfId="0" applyFont="1" applyFill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181" fontId="0" fillId="0" borderId="8" xfId="0" applyNumberFormat="1" applyFont="1" applyFill="1" applyBorder="1" applyAlignment="1" applyProtection="1">
      <alignment horizontal="center" wrapText="1"/>
      <protection locked="0"/>
    </xf>
    <xf numFmtId="181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Protection="1">
      <protection locked="0"/>
    </xf>
    <xf numFmtId="0" fontId="20" fillId="0" borderId="0" xfId="0" applyFont="1" applyFill="1" applyBorder="1" applyAlignment="1" applyProtection="1">
      <alignment horizontal="left" vertical="center"/>
    </xf>
    <xf numFmtId="180" fontId="22" fillId="0" borderId="0" xfId="59" applyNumberFormat="1" applyFont="1" applyFill="1" applyBorder="1" applyAlignment="1" applyProtection="1">
      <alignment horizontal="center" vertical="center"/>
    </xf>
    <xf numFmtId="181" fontId="0" fillId="0" borderId="0" xfId="59" applyNumberFormat="1" applyFont="1" applyFill="1" applyBorder="1" applyAlignment="1" applyProtection="1">
      <alignment horizontal="right" vertical="center" wrapText="1"/>
    </xf>
    <xf numFmtId="180" fontId="51" fillId="0" borderId="27" xfId="59" applyNumberFormat="1" applyFont="1" applyFill="1" applyBorder="1" applyAlignment="1" applyProtection="1">
      <alignment horizontal="center" vertical="center"/>
    </xf>
    <xf numFmtId="180" fontId="51" fillId="0" borderId="1" xfId="59" applyNumberFormat="1" applyFont="1" applyFill="1" applyBorder="1" applyAlignment="1" applyProtection="1">
      <alignment horizontal="center" vertical="center"/>
    </xf>
    <xf numFmtId="180" fontId="51" fillId="0" borderId="13" xfId="59" applyNumberFormat="1" applyFont="1" applyFill="1" applyBorder="1" applyAlignment="1" applyProtection="1">
      <alignment horizontal="center" vertical="center"/>
    </xf>
    <xf numFmtId="177" fontId="51" fillId="0" borderId="13" xfId="59" applyNumberFormat="1" applyFont="1" applyFill="1" applyBorder="1" applyAlignment="1" applyProtection="1">
      <alignment horizontal="center" vertical="center" wrapText="1"/>
    </xf>
    <xf numFmtId="177" fontId="52" fillId="0" borderId="13" xfId="59" applyNumberFormat="1" applyFont="1" applyFill="1" applyBorder="1" applyAlignment="1" applyProtection="1">
      <alignment horizontal="center" vertical="center" wrapText="1"/>
    </xf>
    <xf numFmtId="177" fontId="51" fillId="0" borderId="1" xfId="59" applyNumberFormat="1" applyFont="1" applyFill="1" applyBorder="1" applyAlignment="1" applyProtection="1">
      <alignment horizontal="center" vertical="center" wrapText="1"/>
    </xf>
    <xf numFmtId="180" fontId="1" fillId="0" borderId="3" xfId="59" applyNumberFormat="1" applyFont="1" applyFill="1" applyBorder="1" applyAlignment="1" applyProtection="1">
      <alignment horizontal="left" vertical="center"/>
    </xf>
    <xf numFmtId="41" fontId="1" fillId="0" borderId="1" xfId="0" applyNumberFormat="1" applyFont="1" applyFill="1" applyBorder="1" applyAlignment="1" applyProtection="1">
      <alignment horizontal="right" vertical="center"/>
    </xf>
    <xf numFmtId="41" fontId="1" fillId="0" borderId="9" xfId="0" applyNumberFormat="1" applyFont="1" applyFill="1" applyBorder="1" applyAlignment="1" applyProtection="1">
      <alignment horizontal="right" vertical="center"/>
    </xf>
    <xf numFmtId="180" fontId="1" fillId="0" borderId="2" xfId="59" applyNumberFormat="1" applyFont="1" applyFill="1" applyBorder="1" applyAlignment="1" applyProtection="1">
      <alignment vertical="center"/>
    </xf>
    <xf numFmtId="180" fontId="6" fillId="0" borderId="8" xfId="59" applyNumberFormat="1" applyFont="1" applyFill="1" applyBorder="1" applyAlignment="1" applyProtection="1">
      <alignment vertical="center"/>
    </xf>
    <xf numFmtId="41" fontId="6" fillId="0" borderId="8" xfId="0" applyNumberFormat="1" applyFont="1" applyFill="1" applyBorder="1" applyAlignment="1" applyProtection="1">
      <alignment horizontal="right" vertical="center"/>
    </xf>
    <xf numFmtId="41" fontId="6" fillId="0" borderId="8" xfId="0" applyNumberFormat="1" applyFont="1" applyFill="1" applyBorder="1" applyAlignment="1" applyProtection="1">
      <alignment vertical="center"/>
    </xf>
    <xf numFmtId="178" fontId="6" fillId="0" borderId="0" xfId="0" applyNumberFormat="1" applyFont="1" applyFill="1" applyBorder="1" applyAlignment="1" applyProtection="1">
      <alignment vertical="center"/>
    </xf>
    <xf numFmtId="41" fontId="6" fillId="0" borderId="5" xfId="0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43" fontId="6" fillId="0" borderId="0" xfId="0" applyNumberFormat="1" applyFont="1" applyFill="1" applyBorder="1" applyProtection="1"/>
    <xf numFmtId="180" fontId="1" fillId="0" borderId="9" xfId="59" applyNumberFormat="1" applyFont="1" applyFill="1" applyBorder="1" applyAlignment="1" applyProtection="1">
      <alignment vertical="center"/>
    </xf>
    <xf numFmtId="41" fontId="5" fillId="0" borderId="1" xfId="0" applyNumberFormat="1" applyFont="1" applyFill="1" applyBorder="1" applyAlignment="1" applyProtection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</xf>
    <xf numFmtId="41" fontId="6" fillId="0" borderId="5" xfId="0" applyNumberFormat="1" applyFont="1" applyFill="1" applyBorder="1" applyAlignment="1" applyProtection="1">
      <alignment horizontal="right" vertical="center"/>
    </xf>
    <xf numFmtId="41" fontId="6" fillId="0" borderId="7" xfId="0" applyNumberFormat="1" applyFont="1" applyFill="1" applyBorder="1" applyAlignment="1" applyProtection="1">
      <alignment vertical="center"/>
    </xf>
    <xf numFmtId="180" fontId="6" fillId="0" borderId="11" xfId="59" applyNumberFormat="1" applyFont="1" applyFill="1" applyBorder="1" applyAlignment="1" applyProtection="1">
      <alignment vertical="center"/>
    </xf>
    <xf numFmtId="41" fontId="6" fillId="0" borderId="11" xfId="0" applyNumberFormat="1" applyFont="1" applyFill="1" applyBorder="1" applyAlignment="1" applyProtection="1">
      <alignment horizontal="right" vertical="center"/>
    </xf>
    <xf numFmtId="41" fontId="6" fillId="0" borderId="6" xfId="0" applyNumberFormat="1" applyFont="1" applyFill="1" applyBorder="1" applyAlignment="1" applyProtection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180" fontId="5" fillId="0" borderId="8" xfId="59" applyNumberFormat="1" applyFont="1" applyFill="1" applyBorder="1" applyAlignment="1" applyProtection="1">
      <alignment horizontal="left" vertical="center"/>
    </xf>
    <xf numFmtId="41" fontId="10" fillId="0" borderId="8" xfId="0" applyNumberFormat="1" applyFont="1" applyFill="1" applyBorder="1" applyAlignment="1" applyProtection="1">
      <alignment vertical="center"/>
    </xf>
    <xf numFmtId="180" fontId="1" fillId="0" borderId="1" xfId="59" applyNumberFormat="1" applyFont="1" applyFill="1" applyBorder="1" applyAlignment="1" applyProtection="1">
      <alignment vertical="center"/>
    </xf>
    <xf numFmtId="41" fontId="6" fillId="0" borderId="1" xfId="0" applyNumberFormat="1" applyFont="1" applyFill="1" applyBorder="1" applyAlignment="1" applyProtection="1">
      <alignment horizontal="right" vertical="center"/>
    </xf>
    <xf numFmtId="41" fontId="5" fillId="0" borderId="1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6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</xf>
    <xf numFmtId="180" fontId="23" fillId="0" borderId="0" xfId="59" applyNumberFormat="1" applyFont="1" applyFill="1" applyBorder="1" applyAlignment="1" applyProtection="1">
      <alignment horizontal="center" vertical="center"/>
    </xf>
    <xf numFmtId="41" fontId="23" fillId="0" borderId="0" xfId="0" applyNumberFormat="1" applyFont="1" applyFill="1" applyBorder="1" applyAlignment="1" applyProtection="1">
      <alignment horizontal="right" vertical="center"/>
    </xf>
    <xf numFmtId="180" fontId="22" fillId="0" borderId="0" xfId="59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60" applyFont="1" applyFill="1" applyBorder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/>
      <protection locked="0"/>
    </xf>
    <xf numFmtId="41" fontId="3" fillId="0" borderId="0" xfId="0" applyNumberFormat="1" applyFont="1" applyFill="1" applyBorder="1" applyAlignment="1" applyProtection="1">
      <alignment horizontal="center"/>
      <protection locked="0"/>
    </xf>
    <xf numFmtId="41" fontId="23" fillId="0" borderId="9" xfId="0" applyNumberFormat="1" applyFont="1" applyFill="1" applyBorder="1" applyAlignment="1" applyProtection="1">
      <alignment vertical="center"/>
    </xf>
    <xf numFmtId="41" fontId="0" fillId="0" borderId="9" xfId="0" applyNumberFormat="1" applyFont="1" applyFill="1" applyBorder="1" applyAlignment="1" applyProtection="1">
      <alignment horizontal="center" vertical="center" wrapText="1"/>
    </xf>
    <xf numFmtId="41" fontId="0" fillId="0" borderId="1" xfId="0" applyNumberFormat="1" applyFont="1" applyFill="1" applyBorder="1" applyAlignment="1" applyProtection="1">
      <alignment horizontal="center" vertical="center" wrapText="1"/>
    </xf>
    <xf numFmtId="41" fontId="0" fillId="0" borderId="3" xfId="0" applyNumberFormat="1" applyFont="1" applyFill="1" applyBorder="1" applyAlignment="1" applyProtection="1">
      <alignment horizontal="right" vertical="center"/>
    </xf>
    <xf numFmtId="177" fontId="3" fillId="0" borderId="3" xfId="0" applyNumberFormat="1" applyFont="1" applyFill="1" applyBorder="1" applyAlignment="1" applyProtection="1">
      <alignment horizontal="center"/>
      <protection locked="0"/>
    </xf>
    <xf numFmtId="41" fontId="3" fillId="0" borderId="3" xfId="0" applyNumberFormat="1" applyFont="1" applyFill="1" applyBorder="1" applyAlignment="1" applyProtection="1">
      <alignment horizontal="center"/>
      <protection locked="0"/>
    </xf>
    <xf numFmtId="0" fontId="1" fillId="0" borderId="11" xfId="60" applyFont="1" applyFill="1" applyBorder="1" applyAlignment="1" applyProtection="1">
      <alignment horizontal="left" vertical="center" wrapText="1"/>
    </xf>
    <xf numFmtId="41" fontId="11" fillId="0" borderId="9" xfId="0" applyNumberFormat="1" applyFont="1" applyFill="1" applyBorder="1" applyAlignment="1" applyProtection="1">
      <alignment vertical="center"/>
    </xf>
    <xf numFmtId="41" fontId="0" fillId="0" borderId="1" xfId="0" applyNumberFormat="1" applyFont="1" applyFill="1" applyBorder="1" applyProtection="1">
      <protection locked="0"/>
    </xf>
    <xf numFmtId="41" fontId="0" fillId="0" borderId="3" xfId="0" applyNumberFormat="1" applyFont="1" applyFill="1" applyBorder="1" applyAlignment="1" applyProtection="1">
      <alignment vertical="center"/>
    </xf>
    <xf numFmtId="177" fontId="0" fillId="0" borderId="3" xfId="0" applyNumberFormat="1" applyFont="1" applyFill="1" applyBorder="1" applyAlignment="1" applyProtection="1">
      <alignment horizontal="center"/>
      <protection locked="0"/>
    </xf>
    <xf numFmtId="41" fontId="11" fillId="0" borderId="9" xfId="0" applyNumberFormat="1" applyFont="1" applyFill="1" applyBorder="1" applyAlignment="1" applyProtection="1">
      <alignment horizontal="right" vertical="center"/>
    </xf>
    <xf numFmtId="43" fontId="0" fillId="0" borderId="3" xfId="0" applyNumberFormat="1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left" vertical="center" wrapText="1"/>
    </xf>
    <xf numFmtId="41" fontId="0" fillId="0" borderId="8" xfId="0" applyNumberFormat="1" applyFont="1" applyFill="1" applyBorder="1" applyAlignment="1" applyProtection="1">
      <alignment vertical="center"/>
    </xf>
    <xf numFmtId="41" fontId="0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41" fontId="0" fillId="0" borderId="5" xfId="0" applyNumberFormat="1" applyFont="1" applyFill="1" applyBorder="1" applyAlignment="1" applyProtection="1">
      <alignment vertical="center"/>
    </xf>
    <xf numFmtId="0" fontId="0" fillId="0" borderId="8" xfId="60" applyFont="1" applyFill="1" applyBorder="1" applyAlignment="1" applyProtection="1">
      <alignment horizontal="left" vertical="center" wrapText="1"/>
    </xf>
    <xf numFmtId="41" fontId="0" fillId="0" borderId="8" xfId="0" applyNumberFormat="1" applyFont="1" applyFill="1" applyBorder="1" applyAlignment="1" applyProtection="1">
      <alignment horizontal="right" vertical="center"/>
    </xf>
    <xf numFmtId="41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41" fontId="11" fillId="0" borderId="0" xfId="0" applyNumberFormat="1" applyFont="1" applyFill="1" applyBorder="1" applyAlignment="1" applyProtection="1">
      <alignment vertical="center"/>
    </xf>
    <xf numFmtId="0" fontId="1" fillId="0" borderId="9" xfId="60" applyFont="1" applyFill="1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 wrapText="1"/>
    </xf>
    <xf numFmtId="41" fontId="25" fillId="0" borderId="8" xfId="0" applyNumberFormat="1" applyFont="1" applyFill="1" applyBorder="1" applyAlignment="1" applyProtection="1">
      <alignment vertical="center"/>
    </xf>
    <xf numFmtId="41" fontId="0" fillId="0" borderId="0" xfId="0" applyNumberFormat="1" applyFont="1" applyFill="1" applyBorder="1" applyAlignment="1" applyProtection="1">
      <alignment horizontal="right" vertical="center"/>
    </xf>
    <xf numFmtId="41" fontId="3" fillId="0" borderId="8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0" fontId="23" fillId="0" borderId="9" xfId="60" applyFont="1" applyFill="1" applyBorder="1" applyAlignment="1" applyProtection="1">
      <alignment horizontal="left" vertical="center" wrapText="1"/>
    </xf>
    <xf numFmtId="0" fontId="23" fillId="0" borderId="27" xfId="60" applyFont="1" applyFill="1" applyBorder="1" applyAlignment="1" applyProtection="1">
      <alignment horizontal="left" vertical="center" wrapText="1"/>
    </xf>
    <xf numFmtId="0" fontId="0" fillId="0" borderId="27" xfId="6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  <protection locked="0"/>
    </xf>
    <xf numFmtId="181" fontId="22" fillId="0" borderId="0" xfId="59" applyNumberFormat="1" applyFont="1" applyFill="1" applyBorder="1" applyAlignment="1" applyProtection="1">
      <alignment horizontal="center" vertical="center"/>
    </xf>
    <xf numFmtId="181" fontId="52" fillId="0" borderId="4" xfId="60" applyNumberFormat="1" applyFont="1" applyFill="1" applyBorder="1" applyAlignment="1" applyProtection="1">
      <alignment horizontal="center" vertical="center" wrapText="1"/>
    </xf>
    <xf numFmtId="181" fontId="51" fillId="0" borderId="4" xfId="60" applyNumberFormat="1" applyFont="1" applyFill="1" applyBorder="1" applyAlignment="1" applyProtection="1">
      <alignment horizontal="center" vertical="center" wrapText="1"/>
    </xf>
    <xf numFmtId="181" fontId="51" fillId="0" borderId="13" xfId="60" applyNumberFormat="1" applyFont="1" applyFill="1" applyBorder="1" applyAlignment="1" applyProtection="1">
      <alignment horizontal="center" vertical="center" wrapText="1"/>
    </xf>
    <xf numFmtId="181" fontId="1" fillId="0" borderId="1" xfId="45" applyNumberFormat="1" applyFont="1" applyFill="1" applyBorder="1" applyAlignment="1" applyProtection="1">
      <alignment horizontal="right" vertical="center" wrapText="1"/>
    </xf>
    <xf numFmtId="181" fontId="1" fillId="0" borderId="4" xfId="45" applyNumberFormat="1" applyFont="1" applyFill="1" applyBorder="1" applyAlignment="1" applyProtection="1">
      <alignment horizontal="right" vertical="center" wrapText="1"/>
    </xf>
    <xf numFmtId="181" fontId="23" fillId="0" borderId="1" xfId="45" applyNumberFormat="1" applyFont="1" applyFill="1" applyBorder="1" applyAlignment="1" applyProtection="1">
      <alignment horizontal="right" vertical="center" wrapText="1"/>
    </xf>
    <xf numFmtId="0" fontId="2" fillId="0" borderId="12" xfId="45" applyNumberFormat="1" applyFont="1" applyFill="1" applyBorder="1" applyAlignment="1" applyProtection="1">
      <alignment horizontal="left" vertical="center" wrapText="1"/>
    </xf>
    <xf numFmtId="181" fontId="1" fillId="0" borderId="12" xfId="45" applyNumberFormat="1" applyFont="1" applyFill="1" applyBorder="1" applyAlignment="1" applyProtection="1">
      <alignment horizontal="right" vertical="center" wrapText="1"/>
    </xf>
    <xf numFmtId="181" fontId="23" fillId="0" borderId="9" xfId="45" applyNumberFormat="1" applyFont="1" applyFill="1" applyBorder="1" applyAlignment="1" applyProtection="1">
      <alignment horizontal="right" vertical="center" wrapText="1"/>
    </xf>
    <xf numFmtId="177" fontId="18" fillId="0" borderId="0" xfId="0" applyNumberFormat="1" applyFont="1" applyFill="1" applyBorder="1" applyProtection="1">
      <protection locked="0"/>
    </xf>
    <xf numFmtId="181" fontId="6" fillId="0" borderId="5" xfId="45" applyNumberFormat="1" applyFont="1" applyFill="1" applyBorder="1" applyAlignment="1" applyProtection="1">
      <alignment horizontal="right" vertical="center" wrapText="1"/>
    </xf>
    <xf numFmtId="181" fontId="6" fillId="0" borderId="7" xfId="45" applyNumberFormat="1" applyFont="1" applyFill="1" applyBorder="1" applyAlignment="1" applyProtection="1">
      <alignment horizontal="right" vertical="center" wrapText="1"/>
    </xf>
    <xf numFmtId="181" fontId="0" fillId="0" borderId="8" xfId="45" applyNumberFormat="1" applyFont="1" applyFill="1" applyBorder="1" applyAlignment="1" applyProtection="1">
      <alignment horizontal="right" vertical="center" wrapText="1"/>
    </xf>
    <xf numFmtId="0" fontId="2" fillId="0" borderId="7" xfId="45" applyNumberFormat="1" applyFont="1" applyFill="1" applyBorder="1" applyAlignment="1" applyProtection="1">
      <alignment horizontal="left" vertical="center" wrapText="1"/>
    </xf>
    <xf numFmtId="181" fontId="5" fillId="0" borderId="10" xfId="45" applyNumberFormat="1" applyFont="1" applyFill="1" applyBorder="1" applyAlignment="1" applyProtection="1">
      <alignment horizontal="right" vertical="center" wrapText="1"/>
    </xf>
    <xf numFmtId="177" fontId="23" fillId="0" borderId="0" xfId="0" applyNumberFormat="1" applyFont="1" applyFill="1" applyBorder="1" applyProtection="1">
      <protection locked="0"/>
    </xf>
    <xf numFmtId="181" fontId="5" fillId="0" borderId="5" xfId="45" applyNumberFormat="1" applyFont="1" applyFill="1" applyBorder="1" applyAlignment="1" applyProtection="1">
      <alignment horizontal="right" vertical="center" wrapText="1"/>
    </xf>
    <xf numFmtId="181" fontId="5" fillId="0" borderId="7" xfId="45" applyNumberFormat="1" applyFont="1" applyFill="1" applyBorder="1" applyAlignment="1" applyProtection="1">
      <alignment horizontal="right" vertical="center" wrapText="1"/>
    </xf>
    <xf numFmtId="181" fontId="23" fillId="0" borderId="8" xfId="45" applyNumberFormat="1" applyFont="1" applyFill="1" applyBorder="1" applyAlignment="1" applyProtection="1">
      <alignment horizontal="right" vertical="center" wrapText="1"/>
    </xf>
    <xf numFmtId="0" fontId="35" fillId="0" borderId="7" xfId="45" applyNumberFormat="1" applyFont="1" applyFill="1" applyBorder="1" applyAlignment="1" applyProtection="1">
      <alignment horizontal="left" vertical="center" wrapText="1"/>
    </xf>
    <xf numFmtId="181" fontId="6" fillId="0" borderId="6" xfId="45" applyNumberFormat="1" applyFont="1" applyFill="1" applyBorder="1" applyAlignment="1" applyProtection="1">
      <alignment horizontal="right" vertical="center" wrapText="1"/>
    </xf>
    <xf numFmtId="181" fontId="6" fillId="0" borderId="10" xfId="45" applyNumberFormat="1" applyFont="1" applyFill="1" applyBorder="1" applyAlignment="1" applyProtection="1">
      <alignment horizontal="right" vertical="center" wrapText="1"/>
    </xf>
    <xf numFmtId="181" fontId="0" fillId="0" borderId="11" xfId="45" applyNumberFormat="1" applyFont="1" applyFill="1" applyBorder="1" applyAlignment="1" applyProtection="1">
      <alignment horizontal="right" vertical="center" wrapText="1"/>
    </xf>
    <xf numFmtId="181" fontId="1" fillId="0" borderId="13" xfId="45" applyNumberFormat="1" applyFont="1" applyFill="1" applyBorder="1" applyAlignment="1" applyProtection="1">
      <alignment horizontal="right" vertical="center" wrapText="1"/>
    </xf>
    <xf numFmtId="0" fontId="53" fillId="0" borderId="13" xfId="45" applyNumberFormat="1" applyFont="1" applyFill="1" applyBorder="1" applyAlignment="1" applyProtection="1">
      <alignment horizontal="right" vertical="center" wrapText="1"/>
    </xf>
    <xf numFmtId="181" fontId="6" fillId="0" borderId="13" xfId="45" applyNumberFormat="1" applyFont="1" applyFill="1" applyBorder="1" applyAlignment="1" applyProtection="1">
      <alignment horizontal="right" vertical="center" wrapText="1"/>
    </xf>
    <xf numFmtId="181" fontId="0" fillId="0" borderId="0" xfId="45" applyNumberFormat="1" applyFont="1" applyFill="1" applyBorder="1" applyAlignment="1" applyProtection="1">
      <alignment horizontal="right" vertical="center" wrapText="1"/>
    </xf>
    <xf numFmtId="0" fontId="35" fillId="0" borderId="13" xfId="45" applyNumberFormat="1" applyFont="1" applyFill="1" applyBorder="1" applyAlignment="1" applyProtection="1">
      <alignment horizontal="left" vertical="center" wrapText="1"/>
    </xf>
    <xf numFmtId="0" fontId="2" fillId="0" borderId="0" xfId="45" applyNumberFormat="1" applyFont="1" applyFill="1" applyBorder="1" applyAlignment="1" applyProtection="1">
      <alignment horizontal="left" vertical="center" wrapText="1"/>
    </xf>
    <xf numFmtId="0" fontId="54" fillId="0" borderId="0" xfId="0" applyFont="1" applyFill="1" applyBorder="1" applyAlignment="1" applyProtection="1">
      <alignment horizontal="left" vertical="center" wrapText="1"/>
      <protection locked="0"/>
    </xf>
    <xf numFmtId="0" fontId="35" fillId="0" borderId="0" xfId="45" applyNumberFormat="1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vertical="center" wrapText="1"/>
    </xf>
    <xf numFmtId="181" fontId="5" fillId="0" borderId="1" xfId="45" applyNumberFormat="1" applyFont="1" applyFill="1" applyBorder="1" applyAlignment="1" applyProtection="1">
      <alignment horizontal="right" vertical="center" wrapText="1"/>
    </xf>
    <xf numFmtId="181" fontId="0" fillId="0" borderId="12" xfId="45" applyNumberFormat="1" applyFont="1" applyFill="1" applyBorder="1" applyAlignment="1" applyProtection="1">
      <alignment horizontal="right" vertical="center" wrapText="1"/>
    </xf>
    <xf numFmtId="0" fontId="55" fillId="0" borderId="26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81" fontId="5" fillId="0" borderId="0" xfId="45" applyNumberFormat="1" applyFont="1" applyFill="1" applyBorder="1" applyAlignment="1" applyProtection="1">
      <alignment horizontal="right" vertical="center" wrapText="1"/>
    </xf>
    <xf numFmtId="181" fontId="6" fillId="0" borderId="4" xfId="45" applyNumberFormat="1" applyFont="1" applyFill="1" applyBorder="1" applyAlignment="1" applyProtection="1">
      <alignment horizontal="right" vertical="center" wrapText="1"/>
    </xf>
    <xf numFmtId="0" fontId="54" fillId="0" borderId="26" xfId="0" applyFont="1" applyFill="1" applyBorder="1" applyAlignment="1" applyProtection="1">
      <alignment horizontal="left" vertical="center" wrapText="1"/>
    </xf>
    <xf numFmtId="181" fontId="1" fillId="0" borderId="1" xfId="11" applyNumberFormat="1" applyFont="1" applyFill="1" applyBorder="1" applyAlignment="1" applyProtection="1">
      <alignment horizontal="right" vertical="center"/>
    </xf>
    <xf numFmtId="181" fontId="23" fillId="0" borderId="12" xfId="11" applyNumberFormat="1" applyFont="1" applyFill="1" applyBorder="1" applyAlignment="1" applyProtection="1">
      <alignment horizontal="right" vertical="center"/>
    </xf>
    <xf numFmtId="0" fontId="23" fillId="0" borderId="3" xfId="11" applyNumberFormat="1" applyFont="1" applyFill="1" applyBorder="1" applyAlignment="1" applyProtection="1">
      <alignment horizontal="right" vertical="center"/>
    </xf>
    <xf numFmtId="181" fontId="23" fillId="0" borderId="0" xfId="11" applyNumberFormat="1" applyFont="1" applyFill="1" applyBorder="1" applyAlignment="1" applyProtection="1">
      <alignment horizontal="right" vertical="center"/>
    </xf>
    <xf numFmtId="181" fontId="3" fillId="0" borderId="0" xfId="0" applyNumberFormat="1" applyFont="1" applyFill="1" applyBorder="1" applyAlignment="1" applyProtection="1">
      <alignment horizontal="center"/>
      <protection locked="0"/>
    </xf>
    <xf numFmtId="181" fontId="0" fillId="0" borderId="0" xfId="0" applyNumberFormat="1" applyFont="1" applyFill="1" applyBorder="1" applyAlignment="1" applyProtection="1">
      <alignment horizontal="right" vertical="center"/>
      <protection locked="0"/>
    </xf>
    <xf numFmtId="41" fontId="11" fillId="0" borderId="3" xfId="0" applyNumberFormat="1" applyFont="1" applyFill="1" applyBorder="1" applyAlignment="1" applyProtection="1">
      <alignment horizontal="right" vertical="center"/>
    </xf>
    <xf numFmtId="181" fontId="3" fillId="0" borderId="3" xfId="0" applyNumberFormat="1" applyFont="1" applyFill="1" applyBorder="1" applyAlignment="1" applyProtection="1">
      <alignment horizontal="center"/>
      <protection locked="0"/>
    </xf>
    <xf numFmtId="181" fontId="3" fillId="0" borderId="12" xfId="0" applyNumberFormat="1" applyFont="1" applyFill="1" applyBorder="1" applyAlignment="1" applyProtection="1">
      <alignment horizontal="center"/>
      <protection locked="0"/>
    </xf>
    <xf numFmtId="41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/>
      <protection locked="0"/>
    </xf>
    <xf numFmtId="181" fontId="0" fillId="0" borderId="3" xfId="0" applyNumberFormat="1" applyFont="1" applyFill="1" applyBorder="1" applyAlignment="1" applyProtection="1">
      <alignment horizont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3" xfId="0" applyNumberFormat="1" applyFont="1" applyFill="1" applyBorder="1" applyAlignment="1" applyProtection="1">
      <alignment vertical="center" wrapText="1"/>
      <protection locked="0"/>
    </xf>
    <xf numFmtId="181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0" applyNumberFormat="1" applyFont="1" applyFill="1" applyBorder="1" applyAlignment="1" applyProtection="1">
      <alignment vertical="center" wrapText="1"/>
      <protection locked="0"/>
    </xf>
    <xf numFmtId="178" fontId="0" fillId="0" borderId="0" xfId="0" applyNumberFormat="1" applyFont="1" applyFill="1" applyBorder="1" applyAlignment="1" applyProtection="1">
      <alignment horizontal="center"/>
      <protection locked="0"/>
    </xf>
    <xf numFmtId="10" fontId="56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81" fontId="1" fillId="0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1" fontId="11" fillId="0" borderId="3" xfId="0" applyNumberFormat="1" applyFont="1" applyFill="1" applyBorder="1" applyAlignment="1" applyProtection="1">
      <alignment vertical="center"/>
    </xf>
    <xf numFmtId="181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Alignment="1" applyProtection="1">
      <alignment vertical="center" wrapText="1"/>
      <protection locked="0"/>
    </xf>
    <xf numFmtId="178" fontId="0" fillId="0" borderId="0" xfId="8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  <protection locked="0"/>
    </xf>
    <xf numFmtId="4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1" fontId="11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41" fontId="0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/>
    </xf>
    <xf numFmtId="43" fontId="11" fillId="0" borderId="0" xfId="8" applyFont="1" applyFill="1" applyBorder="1" applyAlignment="1" applyProtection="1">
      <protection locked="0"/>
    </xf>
    <xf numFmtId="43" fontId="3" fillId="0" borderId="0" xfId="8" applyFont="1" applyFill="1" applyBorder="1" applyAlignment="1" applyProtection="1">
      <protection locked="0"/>
    </xf>
    <xf numFmtId="43" fontId="0" fillId="0" borderId="0" xfId="8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vertical="center"/>
    </xf>
    <xf numFmtId="0" fontId="23" fillId="0" borderId="27" xfId="60" applyFont="1" applyFill="1" applyBorder="1" applyAlignment="1" applyProtection="1">
      <alignment vertical="center" wrapText="1"/>
    </xf>
    <xf numFmtId="41" fontId="0" fillId="0" borderId="1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</xf>
    <xf numFmtId="41" fontId="25" fillId="0" borderId="1" xfId="0" applyNumberFormat="1" applyFont="1" applyFill="1" applyBorder="1" applyAlignment="1" applyProtection="1">
      <alignment horizontal="right" vertical="center"/>
    </xf>
    <xf numFmtId="41" fontId="11" fillId="0" borderId="1" xfId="0" applyNumberFormat="1" applyFont="1" applyFill="1" applyBorder="1" applyAlignment="1" applyProtection="1">
      <alignment horizontal="right" vertical="center"/>
    </xf>
    <xf numFmtId="41" fontId="11" fillId="0" borderId="27" xfId="0" applyNumberFormat="1" applyFont="1" applyFill="1" applyBorder="1" applyAlignment="1" applyProtection="1">
      <alignment vertical="center"/>
    </xf>
    <xf numFmtId="0" fontId="1" fillId="0" borderId="11" xfId="6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43" fontId="0" fillId="0" borderId="0" xfId="8" applyFont="1" applyFill="1" applyBorder="1" applyAlignment="1" applyProtection="1">
      <alignment horizont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</xf>
    <xf numFmtId="41" fontId="3" fillId="0" borderId="9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Protection="1">
      <protection locked="0"/>
    </xf>
    <xf numFmtId="41" fontId="11" fillId="0" borderId="12" xfId="0" applyNumberFormat="1" applyFont="1" applyFill="1" applyBorder="1" applyAlignment="1" applyProtection="1">
      <alignment horizontal="right" vertical="center"/>
    </xf>
    <xf numFmtId="0" fontId="2" fillId="0" borderId="26" xfId="0" applyFont="1" applyFill="1" applyBorder="1" applyAlignment="1" applyProtection="1">
      <alignment vertical="center" wrapText="1"/>
      <protection locked="0"/>
    </xf>
    <xf numFmtId="41" fontId="11" fillId="0" borderId="26" xfId="0" applyNumberFormat="1" applyFont="1" applyFill="1" applyBorder="1" applyAlignment="1" applyProtection="1">
      <alignment vertical="center"/>
    </xf>
    <xf numFmtId="41" fontId="11" fillId="0" borderId="27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vertical="center" wrapText="1"/>
      <protection locked="0"/>
    </xf>
    <xf numFmtId="41" fontId="0" fillId="0" borderId="0" xfId="0" applyNumberFormat="1" applyFont="1" applyFill="1" applyBorder="1" applyAlignment="1" applyProtection="1">
      <alignment horizontal="center"/>
      <protection locked="0"/>
    </xf>
    <xf numFmtId="181" fontId="0" fillId="0" borderId="0" xfId="0" applyNumberFormat="1" applyFill="1" applyBorder="1" applyAlignment="1" applyProtection="1">
      <alignment horizontal="center" wrapText="1"/>
      <protection locked="0"/>
    </xf>
    <xf numFmtId="183" fontId="46" fillId="0" borderId="2" xfId="0" applyNumberFormat="1" applyFont="1" applyBorder="1" applyAlignment="1" quotePrefix="1">
      <alignment horizontal="left" vertical="center"/>
    </xf>
    <xf numFmtId="183" fontId="46" fillId="0" borderId="34" xfId="0" applyNumberFormat="1" applyFont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常规_2010年财政一般预算收支预算（草案）2010031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财政收入情况表（2014.3月）" xfId="38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千位分隔_Sheet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olLevel_0" xfId="57"/>
    <cellStyle name="常规 3" xfId="58"/>
    <cellStyle name="常规_2011年初预算（报政府格式）21" xfId="59"/>
    <cellStyle name="常规_Sheet1" xfId="60"/>
    <cellStyle name="千位分隔 2 2" xfId="61"/>
    <cellStyle name="样式 1" xfId="62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e">
        <f>#N/A</f>
        <v>#N/A</v>
      </c>
    </row>
    <row r="4" spans="1:1">
      <c r="A4" t="e">
        <f>#N/A</f>
        <v>#N/A</v>
      </c>
    </row>
    <row r="5" spans="1:1">
      <c r="A5" t="e">
        <f>#N/A</f>
        <v>#N/A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19"/>
  <sheetViews>
    <sheetView workbookViewId="0">
      <selection activeCell="K15" sqref="K15"/>
    </sheetView>
  </sheetViews>
  <sheetFormatPr defaultColWidth="9" defaultRowHeight="39.95" customHeight="1"/>
  <cols>
    <col min="3" max="3" width="9.75" customWidth="1"/>
    <col min="4" max="4" width="10.75" customWidth="1"/>
    <col min="7" max="8" width="14.125" customWidth="1"/>
    <col min="9" max="12" width="9.75" customWidth="1"/>
    <col min="13" max="13" width="9.625" customWidth="1"/>
    <col min="15" max="17" width="10.75" customWidth="1"/>
    <col min="18" max="18" width="11.625" customWidth="1"/>
  </cols>
  <sheetData>
    <row r="1" customHeight="1" spans="1:18">
      <c r="A1" s="17" t="s">
        <v>380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8"/>
      <c r="N1" s="58"/>
      <c r="O1" s="58"/>
      <c r="P1" s="58"/>
      <c r="Q1" s="58"/>
      <c r="R1" s="58"/>
    </row>
    <row r="2" ht="14.25" spans="1:18">
      <c r="A2" s="18" t="s">
        <v>381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59"/>
      <c r="N2" s="59"/>
      <c r="O2" s="59"/>
      <c r="P2" s="59"/>
      <c r="Q2" s="59"/>
      <c r="R2" s="73" t="s">
        <v>2</v>
      </c>
    </row>
    <row r="3" customHeight="1" spans="1:19">
      <c r="A3" s="20" t="s">
        <v>382</v>
      </c>
      <c r="B3" s="21" t="s">
        <v>383</v>
      </c>
      <c r="C3" s="22" t="s">
        <v>384</v>
      </c>
      <c r="D3" s="23" t="s">
        <v>385</v>
      </c>
      <c r="E3" s="24" t="s">
        <v>382</v>
      </c>
      <c r="F3" s="24" t="s">
        <v>383</v>
      </c>
      <c r="G3" s="24" t="s">
        <v>386</v>
      </c>
      <c r="H3" s="25" t="s">
        <v>387</v>
      </c>
      <c r="I3" s="60" t="s">
        <v>388</v>
      </c>
      <c r="J3" s="53"/>
      <c r="K3" s="21" t="s">
        <v>389</v>
      </c>
      <c r="L3" s="21"/>
      <c r="M3" s="60" t="s">
        <v>390</v>
      </c>
      <c r="N3" s="53"/>
      <c r="O3" s="24" t="s">
        <v>391</v>
      </c>
      <c r="P3" s="24" t="s">
        <v>392</v>
      </c>
      <c r="Q3" s="60" t="s">
        <v>393</v>
      </c>
      <c r="R3" s="74"/>
      <c r="S3" s="75"/>
    </row>
    <row r="4" customHeight="1" spans="1:19">
      <c r="A4" s="26" t="s">
        <v>394</v>
      </c>
      <c r="B4" s="21">
        <v>1030148</v>
      </c>
      <c r="C4" s="21" t="s">
        <v>395</v>
      </c>
      <c r="D4" s="27">
        <f>D5+D6</f>
        <v>48800</v>
      </c>
      <c r="E4" s="21" t="s">
        <v>394</v>
      </c>
      <c r="F4" s="21">
        <v>21208</v>
      </c>
      <c r="G4" s="28"/>
      <c r="H4" s="29"/>
      <c r="I4" s="21" t="s">
        <v>396</v>
      </c>
      <c r="J4" s="21" t="s">
        <v>385</v>
      </c>
      <c r="K4" s="21" t="s">
        <v>396</v>
      </c>
      <c r="L4" s="21" t="s">
        <v>385</v>
      </c>
      <c r="M4" s="21" t="s">
        <v>396</v>
      </c>
      <c r="N4" s="21" t="s">
        <v>385</v>
      </c>
      <c r="O4" s="61"/>
      <c r="P4" s="62"/>
      <c r="Q4" s="21" t="s">
        <v>396</v>
      </c>
      <c r="R4" s="21" t="s">
        <v>385</v>
      </c>
      <c r="S4" s="21" t="s">
        <v>397</v>
      </c>
    </row>
    <row r="5" customHeight="1" spans="1:19">
      <c r="A5" s="26"/>
      <c r="B5" s="30"/>
      <c r="C5" s="31" t="s">
        <v>398</v>
      </c>
      <c r="D5" s="32">
        <v>48800</v>
      </c>
      <c r="E5" s="33"/>
      <c r="F5" s="33"/>
      <c r="G5" s="34"/>
      <c r="H5" s="35">
        <f>SUM(H6:H11)</f>
        <v>49246</v>
      </c>
      <c r="I5" s="35">
        <f t="shared" ref="I5:R5" si="0">SUM(I6:I11)</f>
        <v>49246</v>
      </c>
      <c r="J5" s="35">
        <f t="shared" si="0"/>
        <v>0</v>
      </c>
      <c r="K5" s="35">
        <f t="shared" si="0"/>
        <v>44166</v>
      </c>
      <c r="L5" s="35">
        <f t="shared" si="0"/>
        <v>0</v>
      </c>
      <c r="M5" s="35">
        <f t="shared" si="0"/>
        <v>54635</v>
      </c>
      <c r="N5" s="35">
        <f t="shared" si="0"/>
        <v>32531</v>
      </c>
      <c r="O5" s="35">
        <f t="shared" si="0"/>
        <v>87166</v>
      </c>
      <c r="P5" s="63">
        <f t="shared" si="0"/>
        <v>34528</v>
      </c>
      <c r="Q5" s="35">
        <f t="shared" si="0"/>
        <v>9638</v>
      </c>
      <c r="R5" s="35">
        <f t="shared" si="0"/>
        <v>43000</v>
      </c>
      <c r="S5" s="76"/>
    </row>
    <row r="6" customHeight="1" spans="1:19">
      <c r="A6" s="26"/>
      <c r="B6" s="30"/>
      <c r="C6" s="31" t="s">
        <v>399</v>
      </c>
      <c r="D6" s="32"/>
      <c r="E6" s="33"/>
      <c r="F6" s="33"/>
      <c r="G6" s="36" t="s">
        <v>400</v>
      </c>
      <c r="H6" s="37">
        <v>2000</v>
      </c>
      <c r="I6" s="64">
        <f>H6</f>
        <v>2000</v>
      </c>
      <c r="J6" s="64">
        <v>0</v>
      </c>
      <c r="K6" s="64">
        <f>I6</f>
        <v>2000</v>
      </c>
      <c r="L6" s="64">
        <v>0</v>
      </c>
      <c r="M6" s="64">
        <f>K6+10469</f>
        <v>12469</v>
      </c>
      <c r="N6" s="64">
        <f>L6+32531</f>
        <v>32531</v>
      </c>
      <c r="O6" s="65">
        <f>M6+N6</f>
        <v>45000</v>
      </c>
      <c r="P6" s="66">
        <f>'2020年政府性基金预计情况'!P7</f>
        <v>2000</v>
      </c>
      <c r="Q6" s="65">
        <v>0</v>
      </c>
      <c r="R6" s="65">
        <f>O6-P6</f>
        <v>43000</v>
      </c>
      <c r="S6" s="76"/>
    </row>
    <row r="7" customHeight="1" spans="1:19">
      <c r="A7" s="26"/>
      <c r="B7" s="31"/>
      <c r="C7" s="31"/>
      <c r="E7" s="38"/>
      <c r="F7" s="38"/>
      <c r="G7" s="39" t="s">
        <v>401</v>
      </c>
      <c r="H7" s="37">
        <v>6779</v>
      </c>
      <c r="I7" s="64">
        <f t="shared" ref="I7:I12" si="1">H7</f>
        <v>6779</v>
      </c>
      <c r="J7" s="64">
        <v>0</v>
      </c>
      <c r="K7" s="64">
        <f>I7-2607</f>
        <v>4172</v>
      </c>
      <c r="L7" s="64">
        <v>0</v>
      </c>
      <c r="M7" s="64">
        <f t="shared" ref="M7:M12" si="2">K7</f>
        <v>4172</v>
      </c>
      <c r="N7" s="64">
        <f t="shared" ref="N7:N12" si="3">L7</f>
        <v>0</v>
      </c>
      <c r="O7" s="65">
        <f t="shared" ref="O7:O13" si="4">M7+N7</f>
        <v>4172</v>
      </c>
      <c r="P7" s="66">
        <f>'2020年政府性基金预计情况'!P8</f>
        <v>6779</v>
      </c>
      <c r="Q7" s="65">
        <f>M7-P7</f>
        <v>-2607</v>
      </c>
      <c r="R7" s="65"/>
      <c r="S7" s="76"/>
    </row>
    <row r="8" customHeight="1" spans="1:19">
      <c r="A8" s="26"/>
      <c r="B8" s="31"/>
      <c r="C8" s="31"/>
      <c r="D8" s="32"/>
      <c r="E8" s="38"/>
      <c r="F8" s="38"/>
      <c r="G8" s="39" t="s">
        <v>402</v>
      </c>
      <c r="H8" s="37">
        <v>7749</v>
      </c>
      <c r="I8" s="64">
        <f t="shared" si="1"/>
        <v>7749</v>
      </c>
      <c r="J8" s="64">
        <v>0</v>
      </c>
      <c r="K8" s="64">
        <f t="shared" ref="K8:K13" si="5">I8</f>
        <v>7749</v>
      </c>
      <c r="L8" s="64">
        <v>0</v>
      </c>
      <c r="M8" s="64">
        <f t="shared" si="2"/>
        <v>7749</v>
      </c>
      <c r="N8" s="64">
        <f t="shared" si="3"/>
        <v>0</v>
      </c>
      <c r="O8" s="65">
        <f t="shared" si="4"/>
        <v>7749</v>
      </c>
      <c r="P8" s="66">
        <f>'2020年政府性基金预计情况'!P9</f>
        <v>7749</v>
      </c>
      <c r="Q8" s="65">
        <f>M8-P8</f>
        <v>0</v>
      </c>
      <c r="R8" s="65"/>
      <c r="S8" s="76"/>
    </row>
    <row r="9" customHeight="1" spans="1:19">
      <c r="A9" s="26"/>
      <c r="B9" s="31"/>
      <c r="C9" s="31"/>
      <c r="D9" s="32"/>
      <c r="E9" s="38"/>
      <c r="F9" s="38"/>
      <c r="G9" s="39" t="s">
        <v>403</v>
      </c>
      <c r="H9" s="37">
        <v>9638</v>
      </c>
      <c r="I9" s="64">
        <f t="shared" si="1"/>
        <v>9638</v>
      </c>
      <c r="J9" s="64">
        <v>0</v>
      </c>
      <c r="K9" s="64">
        <f t="shared" si="5"/>
        <v>9638</v>
      </c>
      <c r="L9" s="64">
        <v>0</v>
      </c>
      <c r="M9" s="64">
        <f t="shared" si="2"/>
        <v>9638</v>
      </c>
      <c r="N9" s="64">
        <f t="shared" si="3"/>
        <v>0</v>
      </c>
      <c r="O9" s="65">
        <f t="shared" si="4"/>
        <v>9638</v>
      </c>
      <c r="P9" s="66">
        <f>'2020年政府性基金预计情况'!P10</f>
        <v>0</v>
      </c>
      <c r="Q9" s="65">
        <f>M9-P9</f>
        <v>9638</v>
      </c>
      <c r="R9" s="65"/>
      <c r="S9" s="76"/>
    </row>
    <row r="10" customHeight="1" spans="1:19">
      <c r="A10" s="26"/>
      <c r="B10" s="40"/>
      <c r="C10" s="31"/>
      <c r="D10" s="32"/>
      <c r="E10" s="41"/>
      <c r="F10" s="42"/>
      <c r="G10" s="43" t="s">
        <v>404</v>
      </c>
      <c r="H10" s="37">
        <v>5080</v>
      </c>
      <c r="I10" s="64">
        <f t="shared" si="1"/>
        <v>5080</v>
      </c>
      <c r="J10" s="64"/>
      <c r="K10" s="64"/>
      <c r="L10" s="64"/>
      <c r="M10" s="64"/>
      <c r="N10" s="64"/>
      <c r="O10" s="65"/>
      <c r="P10" s="66"/>
      <c r="Q10" s="65"/>
      <c r="R10" s="65"/>
      <c r="S10" s="76"/>
    </row>
    <row r="11" customHeight="1" spans="1:19">
      <c r="A11" s="33"/>
      <c r="B11" s="30"/>
      <c r="C11" s="44"/>
      <c r="D11" s="45"/>
      <c r="E11" s="46"/>
      <c r="F11" s="47">
        <v>2120899</v>
      </c>
      <c r="G11" s="39" t="s">
        <v>405</v>
      </c>
      <c r="H11" s="37">
        <v>18000</v>
      </c>
      <c r="I11" s="64">
        <f t="shared" si="1"/>
        <v>18000</v>
      </c>
      <c r="J11" s="64">
        <v>0</v>
      </c>
      <c r="K11" s="64">
        <f>I11+2607</f>
        <v>20607</v>
      </c>
      <c r="L11" s="64">
        <v>0</v>
      </c>
      <c r="M11" s="64">
        <f t="shared" si="2"/>
        <v>20607</v>
      </c>
      <c r="N11" s="64">
        <f t="shared" si="3"/>
        <v>0</v>
      </c>
      <c r="O11" s="65">
        <f t="shared" si="4"/>
        <v>20607</v>
      </c>
      <c r="P11" s="66">
        <f>'2020年政府性基金预计情况'!P13</f>
        <v>18000</v>
      </c>
      <c r="Q11" s="65">
        <f>M11-P11</f>
        <v>2607</v>
      </c>
      <c r="R11" s="65"/>
      <c r="S11" s="76"/>
    </row>
    <row r="12" customHeight="1" spans="1:19">
      <c r="A12" s="48"/>
      <c r="B12" s="49"/>
      <c r="C12" s="30"/>
      <c r="D12" s="45"/>
      <c r="E12" s="50" t="s">
        <v>406</v>
      </c>
      <c r="F12" s="51">
        <v>2300802</v>
      </c>
      <c r="G12" s="52" t="s">
        <v>407</v>
      </c>
      <c r="H12" s="37">
        <v>15000</v>
      </c>
      <c r="I12" s="64">
        <f t="shared" si="1"/>
        <v>15000</v>
      </c>
      <c r="J12" s="64">
        <v>0</v>
      </c>
      <c r="K12" s="64">
        <f t="shared" si="5"/>
        <v>15000</v>
      </c>
      <c r="L12" s="64">
        <v>0</v>
      </c>
      <c r="M12" s="64">
        <f t="shared" si="2"/>
        <v>15000</v>
      </c>
      <c r="N12" s="64">
        <f t="shared" si="3"/>
        <v>0</v>
      </c>
      <c r="O12" s="65">
        <f t="shared" si="4"/>
        <v>15000</v>
      </c>
      <c r="P12" s="66">
        <v>0</v>
      </c>
      <c r="Q12" s="65">
        <f>M12-P12</f>
        <v>15000</v>
      </c>
      <c r="R12" s="65"/>
      <c r="S12" s="76"/>
    </row>
    <row r="13" customHeight="1" spans="1:19">
      <c r="A13" s="53" t="s">
        <v>406</v>
      </c>
      <c r="B13" s="21">
        <v>1100802</v>
      </c>
      <c r="C13" s="21" t="s">
        <v>408</v>
      </c>
      <c r="D13" s="27">
        <f>70777+25957</f>
        <v>96734</v>
      </c>
      <c r="E13" s="54" t="s">
        <v>409</v>
      </c>
      <c r="F13" s="52">
        <v>2300902</v>
      </c>
      <c r="G13" s="52" t="s">
        <v>410</v>
      </c>
      <c r="H13" s="27">
        <f>H14-H5-H12</f>
        <v>67488</v>
      </c>
      <c r="I13" s="27">
        <f>D13-I6-I7-I8-I9-I11-I12</f>
        <v>37568</v>
      </c>
      <c r="J13" s="27">
        <f>D4-J6-J7-J8-J9-J11-J12</f>
        <v>48800</v>
      </c>
      <c r="K13" s="27">
        <f t="shared" si="5"/>
        <v>37568</v>
      </c>
      <c r="L13" s="27">
        <f>J13-L6-L7-L8-L9-L11-L12</f>
        <v>48800</v>
      </c>
      <c r="M13" s="27">
        <f>K13-10469</f>
        <v>27099</v>
      </c>
      <c r="N13" s="27">
        <f>L13-32531</f>
        <v>16269</v>
      </c>
      <c r="O13" s="65">
        <f t="shared" si="4"/>
        <v>43368</v>
      </c>
      <c r="P13" s="66">
        <v>0</v>
      </c>
      <c r="Q13" s="65">
        <f>M13-P13</f>
        <v>27099</v>
      </c>
      <c r="R13" s="65">
        <v>2469</v>
      </c>
      <c r="S13" s="65">
        <f>48800-35000</f>
        <v>13800</v>
      </c>
    </row>
    <row r="14" customHeight="1" spans="1:19">
      <c r="A14" s="55" t="s">
        <v>411</v>
      </c>
      <c r="B14" s="55"/>
      <c r="C14" s="56"/>
      <c r="D14" s="27">
        <f>D13+D4</f>
        <v>145534</v>
      </c>
      <c r="E14" s="57" t="s">
        <v>411</v>
      </c>
      <c r="F14" s="57"/>
      <c r="G14" s="57"/>
      <c r="H14" s="27">
        <v>131734</v>
      </c>
      <c r="I14" s="27">
        <f>SUM(I6:I13)</f>
        <v>101814</v>
      </c>
      <c r="J14" s="27">
        <f>SUM(J6:J13)</f>
        <v>48800</v>
      </c>
      <c r="K14" s="27">
        <f>SUM(K6:K13)</f>
        <v>96734</v>
      </c>
      <c r="L14" s="27">
        <f>SUM(L6:L13)</f>
        <v>48800</v>
      </c>
      <c r="M14" s="27">
        <f t="shared" ref="M14:S14" si="6">SUM(M6:M13)</f>
        <v>96734</v>
      </c>
      <c r="N14" s="27">
        <f t="shared" si="6"/>
        <v>48800</v>
      </c>
      <c r="O14" s="67">
        <f t="shared" si="6"/>
        <v>145534</v>
      </c>
      <c r="P14" s="68">
        <f t="shared" si="6"/>
        <v>34528</v>
      </c>
      <c r="Q14" s="67">
        <f t="shared" si="6"/>
        <v>51737</v>
      </c>
      <c r="R14" s="67">
        <f t="shared" si="6"/>
        <v>45469</v>
      </c>
      <c r="S14" s="67">
        <f t="shared" si="6"/>
        <v>13800</v>
      </c>
    </row>
    <row r="15" s="16" customFormat="1" customHeight="1" spans="1:16">
      <c r="A15" s="16" t="s">
        <v>412</v>
      </c>
      <c r="O15" s="69"/>
      <c r="P15" s="70"/>
    </row>
    <row r="16" customHeight="1" spans="16:19">
      <c r="P16" s="71"/>
      <c r="R16" s="71"/>
      <c r="S16" s="72"/>
    </row>
    <row r="17" customHeight="1" spans="16:16">
      <c r="P17" s="72"/>
    </row>
    <row r="19" customHeight="1" spans="16:16">
      <c r="P19" s="72">
        <f>P17-P18</f>
        <v>0</v>
      </c>
    </row>
  </sheetData>
  <mergeCells count="12">
    <mergeCell ref="A1:R1"/>
    <mergeCell ref="I3:J3"/>
    <mergeCell ref="K3:L3"/>
    <mergeCell ref="M3:N3"/>
    <mergeCell ref="Q3:S3"/>
    <mergeCell ref="A14:C14"/>
    <mergeCell ref="E14:G14"/>
    <mergeCell ref="A4:A9"/>
    <mergeCell ref="G3:G5"/>
    <mergeCell ref="H3:H4"/>
    <mergeCell ref="O3:O4"/>
    <mergeCell ref="P3:P4"/>
  </mergeCells>
  <pageMargins left="0.708661417322835" right="0.708661417322835" top="0.748031496062992" bottom="0.748031496062992" header="0.31496062992126" footer="0.31496062992126"/>
  <pageSetup paperSize="9" scale="63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D25" sqref="D25"/>
    </sheetView>
  </sheetViews>
  <sheetFormatPr defaultColWidth="9" defaultRowHeight="14.25" outlineLevelCol="3"/>
  <cols>
    <col min="1" max="1" width="49.375" style="2" customWidth="1"/>
    <col min="2" max="2" width="18.375" style="3" customWidth="1"/>
    <col min="3" max="3" width="16.125" style="4" customWidth="1"/>
    <col min="4" max="4" width="27" style="5" customWidth="1"/>
  </cols>
  <sheetData>
    <row r="1" s="1" customFormat="1" ht="24" customHeight="1" spans="1:4">
      <c r="A1" s="6"/>
      <c r="B1" s="7" t="s">
        <v>413</v>
      </c>
      <c r="C1" s="8" t="s">
        <v>414</v>
      </c>
      <c r="D1" s="9" t="s">
        <v>17</v>
      </c>
    </row>
    <row r="2" spans="1:4">
      <c r="A2" s="10" t="s">
        <v>415</v>
      </c>
      <c r="B2" s="11">
        <f>B3+B6+B14</f>
        <v>73862</v>
      </c>
      <c r="C2" s="11">
        <f>C3+C6+C14</f>
        <v>21340.8333333333</v>
      </c>
      <c r="D2" s="12"/>
    </row>
    <row r="3" spans="1:4">
      <c r="A3" s="10" t="s">
        <v>416</v>
      </c>
      <c r="B3" s="11">
        <f>B4+B5</f>
        <v>164</v>
      </c>
      <c r="C3" s="11">
        <f>C4+C5</f>
        <v>164</v>
      </c>
      <c r="D3" s="12"/>
    </row>
    <row r="4" spans="1:4">
      <c r="A4" s="10" t="s">
        <v>417</v>
      </c>
      <c r="B4" s="11">
        <v>57</v>
      </c>
      <c r="C4" s="13">
        <v>57</v>
      </c>
      <c r="D4" s="12" t="s">
        <v>418</v>
      </c>
    </row>
    <row r="5" spans="1:4">
      <c r="A5" s="10" t="s">
        <v>419</v>
      </c>
      <c r="B5" s="11">
        <v>107</v>
      </c>
      <c r="C5" s="13">
        <v>107</v>
      </c>
      <c r="D5" s="12" t="s">
        <v>418</v>
      </c>
    </row>
    <row r="6" spans="1:4">
      <c r="A6" s="10" t="s">
        <v>420</v>
      </c>
      <c r="B6" s="11">
        <f>B7+B8+B9+B10+B11+B12+B13</f>
        <v>19659</v>
      </c>
      <c r="C6" s="11">
        <f>C7+C8+C9+C10+C11+C12+C13</f>
        <v>15654.8333333333</v>
      </c>
      <c r="D6" s="12"/>
    </row>
    <row r="7" ht="36" spans="1:4">
      <c r="A7" s="10" t="s">
        <v>421</v>
      </c>
      <c r="B7" s="11">
        <v>10886</v>
      </c>
      <c r="C7" s="13">
        <v>12000</v>
      </c>
      <c r="D7" s="12" t="s">
        <v>422</v>
      </c>
    </row>
    <row r="8" spans="1:4">
      <c r="A8" s="10" t="s">
        <v>423</v>
      </c>
      <c r="B8" s="11">
        <v>175</v>
      </c>
      <c r="C8" s="13">
        <v>200</v>
      </c>
      <c r="D8" s="12" t="s">
        <v>424</v>
      </c>
    </row>
    <row r="9" spans="1:4">
      <c r="A9" s="10" t="s">
        <v>425</v>
      </c>
      <c r="B9" s="11">
        <v>38</v>
      </c>
      <c r="C9" s="13">
        <v>40</v>
      </c>
      <c r="D9" s="12" t="s">
        <v>426</v>
      </c>
    </row>
    <row r="10" spans="1:4">
      <c r="A10" s="10" t="s">
        <v>427</v>
      </c>
      <c r="B10" s="11">
        <v>131</v>
      </c>
      <c r="C10" s="13">
        <v>0</v>
      </c>
      <c r="D10" s="12" t="s">
        <v>428</v>
      </c>
    </row>
    <row r="11" spans="1:4">
      <c r="A11" s="10" t="s">
        <v>429</v>
      </c>
      <c r="B11" s="11">
        <v>9</v>
      </c>
      <c r="C11" s="13">
        <v>9</v>
      </c>
      <c r="D11" s="12"/>
    </row>
    <row r="12" spans="1:4">
      <c r="A12" s="10" t="s">
        <v>430</v>
      </c>
      <c r="B12" s="11">
        <v>6035</v>
      </c>
      <c r="C12" s="13">
        <f>B12/6</f>
        <v>1005.83333333333</v>
      </c>
      <c r="D12" s="12" t="s">
        <v>431</v>
      </c>
    </row>
    <row r="13" spans="1:4">
      <c r="A13" s="10" t="s">
        <v>432</v>
      </c>
      <c r="B13" s="11">
        <v>2385</v>
      </c>
      <c r="C13" s="13">
        <v>2400</v>
      </c>
      <c r="D13" s="12" t="s">
        <v>433</v>
      </c>
    </row>
    <row r="14" spans="1:4">
      <c r="A14" s="10" t="s">
        <v>434</v>
      </c>
      <c r="B14" s="11">
        <f>B15+B16+B17+B18+B19</f>
        <v>54039</v>
      </c>
      <c r="C14" s="11">
        <f>C15+C16+C17+C18+C19</f>
        <v>5522</v>
      </c>
      <c r="D14" s="12"/>
    </row>
    <row r="15" spans="1:4">
      <c r="A15" s="10" t="s">
        <v>435</v>
      </c>
      <c r="B15" s="11">
        <v>1982</v>
      </c>
      <c r="C15" s="13">
        <v>1982</v>
      </c>
      <c r="D15" s="12" t="s">
        <v>436</v>
      </c>
    </row>
    <row r="16" spans="1:4">
      <c r="A16" s="10" t="s">
        <v>437</v>
      </c>
      <c r="B16" s="11">
        <v>440</v>
      </c>
      <c r="C16" s="13">
        <v>440</v>
      </c>
      <c r="D16" s="12" t="s">
        <v>433</v>
      </c>
    </row>
    <row r="17" spans="1:4">
      <c r="A17" s="10" t="s">
        <v>438</v>
      </c>
      <c r="B17" s="11">
        <v>3800</v>
      </c>
      <c r="C17" s="13">
        <v>1900</v>
      </c>
      <c r="D17" s="12" t="s">
        <v>439</v>
      </c>
    </row>
    <row r="18" spans="1:4">
      <c r="A18" s="10" t="s">
        <v>440</v>
      </c>
      <c r="B18" s="11">
        <v>957</v>
      </c>
      <c r="C18" s="13">
        <v>1200</v>
      </c>
      <c r="D18" s="12" t="s">
        <v>424</v>
      </c>
    </row>
    <row r="19" spans="1:4">
      <c r="A19" s="10" t="s">
        <v>441</v>
      </c>
      <c r="B19" s="11">
        <v>46860</v>
      </c>
      <c r="C19" s="13">
        <v>0</v>
      </c>
      <c r="D19" s="12" t="s">
        <v>442</v>
      </c>
    </row>
    <row r="23" spans="1:2">
      <c r="A23" s="14" t="s">
        <v>443</v>
      </c>
      <c r="B23" s="15">
        <v>10611.62</v>
      </c>
    </row>
    <row r="24" spans="1:2">
      <c r="A24" s="14" t="s">
        <v>444</v>
      </c>
      <c r="B24" s="15">
        <v>7195.12</v>
      </c>
    </row>
    <row r="25" spans="1:2">
      <c r="A25" s="14" t="s">
        <v>445</v>
      </c>
      <c r="B25" s="15">
        <v>220</v>
      </c>
    </row>
    <row r="26" spans="1:2">
      <c r="A26" s="14" t="s">
        <v>446</v>
      </c>
      <c r="B26" s="15">
        <v>45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2824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  <pageSetUpPr fitToPage="1"/>
  </sheetPr>
  <dimension ref="A1:BF1363"/>
  <sheetViews>
    <sheetView zoomScale="85" zoomScaleNormal="85" topLeftCell="A13" workbookViewId="0">
      <selection activeCell="P29" sqref="P29"/>
    </sheetView>
  </sheetViews>
  <sheetFormatPr defaultColWidth="9" defaultRowHeight="20.1" customHeight="1"/>
  <cols>
    <col min="1" max="1" width="41.375" style="509" customWidth="1"/>
    <col min="2" max="3" width="16.25" style="510" customWidth="1"/>
    <col min="4" max="4" width="15.625" style="511" customWidth="1"/>
    <col min="5" max="5" width="17.25" style="511" hidden="1" customWidth="1"/>
    <col min="6" max="6" width="1.75" style="511" hidden="1" customWidth="1"/>
    <col min="7" max="7" width="17.375" style="511" customWidth="1"/>
    <col min="8" max="8" width="17.25" style="511" hidden="1" customWidth="1"/>
    <col min="9" max="9" width="14.625" style="511" hidden="1" customWidth="1"/>
    <col min="10" max="10" width="17.5" style="512" hidden="1" customWidth="1"/>
    <col min="11" max="11" width="16.125" style="513" hidden="1" customWidth="1"/>
    <col min="12" max="12" width="15.625" style="513" customWidth="1"/>
    <col min="13" max="13" width="16.125" style="513" customWidth="1"/>
    <col min="14" max="14" width="18.625" style="513" hidden="1" customWidth="1"/>
    <col min="15" max="15" width="58.125" style="513" customWidth="1"/>
    <col min="16" max="16" width="59.5" style="504" customWidth="1"/>
    <col min="17" max="17" width="19.375" style="504" customWidth="1"/>
    <col min="18" max="18" width="9" style="504" customWidth="1"/>
    <col min="19" max="19" width="10" style="504" customWidth="1"/>
    <col min="20" max="21" width="9" style="504" customWidth="1"/>
    <col min="22" max="23" width="9" style="504"/>
    <col min="24" max="25" width="10" style="504" customWidth="1"/>
    <col min="26" max="26" width="21.625" style="504" customWidth="1"/>
    <col min="27" max="27" width="12.75" style="504" customWidth="1"/>
    <col min="28" max="58" width="9" style="504"/>
    <col min="59" max="16384" width="9" style="514"/>
  </cols>
  <sheetData>
    <row r="1" s="503" customFormat="1" customHeight="1" spans="1:58">
      <c r="A1" s="515" t="s">
        <v>0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594"/>
      <c r="AJ1" s="594"/>
      <c r="AK1" s="594"/>
      <c r="AL1" s="594"/>
      <c r="AM1" s="594"/>
      <c r="AN1" s="594"/>
      <c r="AO1" s="594"/>
      <c r="AP1" s="594"/>
      <c r="AQ1" s="594"/>
      <c r="AR1" s="594"/>
      <c r="AS1" s="594"/>
      <c r="AT1" s="594"/>
      <c r="AU1" s="594"/>
      <c r="AV1" s="594"/>
      <c r="AW1" s="594"/>
      <c r="AX1" s="594"/>
      <c r="AY1" s="594"/>
      <c r="AZ1" s="594"/>
      <c r="BA1" s="594"/>
      <c r="BB1" s="594"/>
      <c r="BC1" s="594"/>
      <c r="BD1" s="594"/>
      <c r="BE1" s="594"/>
      <c r="BF1" s="594"/>
    </row>
    <row r="2" customHeight="1" spans="1:15">
      <c r="A2" s="516" t="s">
        <v>1</v>
      </c>
      <c r="B2" s="516"/>
      <c r="C2" s="516"/>
      <c r="D2" s="516"/>
      <c r="E2" s="516"/>
      <c r="F2" s="516"/>
      <c r="G2" s="516"/>
      <c r="H2" s="516"/>
      <c r="I2" s="516"/>
      <c r="J2" s="595"/>
      <c r="K2" s="595"/>
      <c r="L2" s="595"/>
      <c r="M2" s="595"/>
      <c r="N2" s="595"/>
      <c r="O2" s="595"/>
    </row>
    <row r="3" s="504" customFormat="1" customHeight="1" spans="1:15">
      <c r="A3" s="517" t="s">
        <v>2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</row>
    <row r="4" s="505" customFormat="1" ht="39.95" customHeight="1" spans="1:15">
      <c r="A4" s="518" t="s">
        <v>3</v>
      </c>
      <c r="B4" s="519" t="s">
        <v>4</v>
      </c>
      <c r="C4" s="520" t="s">
        <v>5</v>
      </c>
      <c r="D4" s="521" t="s">
        <v>6</v>
      </c>
      <c r="E4" s="522" t="s">
        <v>7</v>
      </c>
      <c r="F4" s="522" t="s">
        <v>8</v>
      </c>
      <c r="G4" s="523" t="s">
        <v>9</v>
      </c>
      <c r="H4" s="522" t="s">
        <v>10</v>
      </c>
      <c r="I4" s="522" t="s">
        <v>11</v>
      </c>
      <c r="J4" s="596" t="s">
        <v>12</v>
      </c>
      <c r="K4" s="596" t="s">
        <v>13</v>
      </c>
      <c r="L4" s="597" t="s">
        <v>14</v>
      </c>
      <c r="M4" s="596" t="s">
        <v>15</v>
      </c>
      <c r="N4" s="596" t="s">
        <v>16</v>
      </c>
      <c r="O4" s="598" t="s">
        <v>17</v>
      </c>
    </row>
    <row r="5" s="505" customFormat="1" ht="30" customHeight="1" spans="1:15">
      <c r="A5" s="524" t="s">
        <v>18</v>
      </c>
      <c r="B5" s="525">
        <f>B6+B17</f>
        <v>252499.503</v>
      </c>
      <c r="C5" s="526">
        <v>232500</v>
      </c>
      <c r="D5" s="526">
        <f>D6+D17</f>
        <v>232500.3855</v>
      </c>
      <c r="E5" s="526">
        <f t="shared" ref="E5:I5" si="0">E6+E17</f>
        <v>210025.918435</v>
      </c>
      <c r="F5" s="526">
        <f t="shared" si="0"/>
        <v>249315.54</v>
      </c>
      <c r="G5" s="526">
        <f t="shared" si="0"/>
        <v>233000.16</v>
      </c>
      <c r="H5" s="525">
        <f t="shared" si="0"/>
        <v>259717.448</v>
      </c>
      <c r="I5" s="525">
        <f t="shared" si="0"/>
        <v>239877.54</v>
      </c>
      <c r="J5" s="599">
        <f t="shared" ref="J5:J17" si="1">IFERROR((B5-D5)/D5,0)</f>
        <v>0.0860175670547436</v>
      </c>
      <c r="K5" s="599">
        <f t="shared" ref="K5:K17" si="2">IFERROR((I5-F5)/F5,0)</f>
        <v>-0.03785564269279</v>
      </c>
      <c r="L5" s="599">
        <f>IFERROR((G5-D5)/D5,0)</f>
        <v>0.00214956417781927</v>
      </c>
      <c r="M5" s="600">
        <f>IFERROR((G5-B5)/B5,0)</f>
        <v>-0.0772252727958836</v>
      </c>
      <c r="N5" s="601">
        <f t="shared" ref="N5:N17" si="3">IFERROR((B5-E5)/E5,0)</f>
        <v>0.202230205117017</v>
      </c>
      <c r="O5" s="602"/>
    </row>
    <row r="6" s="505" customFormat="1" ht="30" customHeight="1" spans="1:17">
      <c r="A6" s="527" t="s">
        <v>19</v>
      </c>
      <c r="B6" s="525">
        <f>SUM(B7:B16)</f>
        <v>234999.503</v>
      </c>
      <c r="C6" s="526">
        <v>215000</v>
      </c>
      <c r="D6" s="526">
        <f>SUM(D7:D16)</f>
        <v>205000.2355</v>
      </c>
      <c r="E6" s="526">
        <f t="shared" ref="E6:I6" si="4">SUM(E7:E16)</f>
        <v>198656.918435</v>
      </c>
      <c r="F6" s="526">
        <f t="shared" si="4"/>
        <v>239315.54</v>
      </c>
      <c r="G6" s="526">
        <f t="shared" si="4"/>
        <v>205000.16</v>
      </c>
      <c r="H6" s="525">
        <f t="shared" si="4"/>
        <v>242217.448</v>
      </c>
      <c r="I6" s="525">
        <f t="shared" si="4"/>
        <v>234877.54</v>
      </c>
      <c r="J6" s="599">
        <f t="shared" si="1"/>
        <v>0.146337722133983</v>
      </c>
      <c r="K6" s="599">
        <f t="shared" si="2"/>
        <v>-0.0185445541898366</v>
      </c>
      <c r="L6" s="603">
        <f t="shared" ref="L6:L30" si="5">IFERROR((G6-D6)/D6,0)</f>
        <v>-3.68292260012503e-7</v>
      </c>
      <c r="M6" s="599">
        <f t="shared" ref="M6:M30" si="6">IFERROR((G6-B6)/B6,0)</f>
        <v>-0.127657048704482</v>
      </c>
      <c r="N6" s="604">
        <f t="shared" si="3"/>
        <v>0.18294144926491</v>
      </c>
      <c r="O6" s="602"/>
      <c r="P6" s="605"/>
      <c r="Q6" s="605"/>
    </row>
    <row r="7" s="504" customFormat="1" ht="30" customHeight="1" spans="1:15">
      <c r="A7" s="528" t="s">
        <v>20</v>
      </c>
      <c r="B7" s="529">
        <v>131439.5</v>
      </c>
      <c r="C7" s="529">
        <v>111440</v>
      </c>
      <c r="D7" s="530">
        <f>'税收预计情况（税收数据从此表引入）'!E5+6000</f>
        <v>107634.8355</v>
      </c>
      <c r="E7" s="530">
        <f>D7*0.97</f>
        <v>104405.790435</v>
      </c>
      <c r="F7" s="530">
        <f>130037.5-5000</f>
        <v>125037.5</v>
      </c>
      <c r="G7" s="531">
        <f>'税收预计情况（税收数据从此表引入）'!J5</f>
        <v>90961.76</v>
      </c>
      <c r="H7" s="529">
        <f>B7*1.03</f>
        <v>135382.685</v>
      </c>
      <c r="I7" s="532">
        <f>130037.5-9438</f>
        <v>120599.5</v>
      </c>
      <c r="J7" s="606">
        <f t="shared" si="1"/>
        <v>0.221161340465838</v>
      </c>
      <c r="K7" s="607">
        <f t="shared" si="2"/>
        <v>-0.0354933519944017</v>
      </c>
      <c r="L7" s="607">
        <f t="shared" si="5"/>
        <v>-0.15490408307448</v>
      </c>
      <c r="M7" s="606">
        <f t="shared" si="6"/>
        <v>-0.30795719703742</v>
      </c>
      <c r="N7" s="608">
        <f t="shared" si="3"/>
        <v>0.258929216975091</v>
      </c>
      <c r="O7" s="609" t="s">
        <v>21</v>
      </c>
    </row>
    <row r="8" s="504" customFormat="1" ht="30" customHeight="1" spans="1:15">
      <c r="A8" s="528" t="s">
        <v>22</v>
      </c>
      <c r="B8" s="529">
        <v>37854</v>
      </c>
      <c r="C8" s="529">
        <f>B8</f>
        <v>37854</v>
      </c>
      <c r="D8" s="529">
        <f>'税收预计情况（税收数据从此表引入）'!E10+2000</f>
        <v>37582.76</v>
      </c>
      <c r="E8" s="530">
        <f t="shared" ref="E8:E15" si="7">D8</f>
        <v>37582.76</v>
      </c>
      <c r="F8" s="530">
        <v>40293.2</v>
      </c>
      <c r="G8" s="531">
        <f>'税收预计情况（税收数据从此表引入）'!J10</f>
        <v>46658.56</v>
      </c>
      <c r="H8" s="529">
        <f>B8</f>
        <v>37854</v>
      </c>
      <c r="I8" s="538">
        <v>40293.2</v>
      </c>
      <c r="J8" s="606">
        <f t="shared" si="1"/>
        <v>0.00721713892220809</v>
      </c>
      <c r="K8" s="607">
        <f t="shared" si="2"/>
        <v>0</v>
      </c>
      <c r="L8" s="607">
        <f t="shared" si="5"/>
        <v>0.241488384567818</v>
      </c>
      <c r="M8" s="606">
        <f t="shared" si="6"/>
        <v>0.232592592592593</v>
      </c>
      <c r="N8" s="608">
        <f t="shared" si="3"/>
        <v>0.00721713892220809</v>
      </c>
      <c r="O8" s="609" t="s">
        <v>23</v>
      </c>
    </row>
    <row r="9" s="504" customFormat="1" ht="30" customHeight="1" spans="1:15">
      <c r="A9" s="528" t="s">
        <v>24</v>
      </c>
      <c r="B9" s="529">
        <v>8186.9</v>
      </c>
      <c r="C9" s="529">
        <f t="shared" ref="C9:C31" si="8">B9</f>
        <v>8186.9</v>
      </c>
      <c r="D9" s="532">
        <f>'税收预计情况（税收数据从此表引入）'!E11+1000</f>
        <v>7785.68</v>
      </c>
      <c r="E9" s="530">
        <f>D9*0.6</f>
        <v>4671.408</v>
      </c>
      <c r="F9" s="530">
        <v>11440.24</v>
      </c>
      <c r="G9" s="531">
        <f>'税收预计情况（税收数据从此表引入）'!J11</f>
        <v>8652.8</v>
      </c>
      <c r="H9" s="529">
        <f>B9*1.4</f>
        <v>11461.66</v>
      </c>
      <c r="I9" s="532">
        <v>11440.24</v>
      </c>
      <c r="J9" s="606">
        <f t="shared" si="1"/>
        <v>0.0515330709713217</v>
      </c>
      <c r="K9" s="607">
        <f t="shared" si="2"/>
        <v>0</v>
      </c>
      <c r="L9" s="607">
        <f t="shared" si="5"/>
        <v>0.111373701462172</v>
      </c>
      <c r="M9" s="606">
        <f t="shared" si="6"/>
        <v>0.0569079871502036</v>
      </c>
      <c r="N9" s="608">
        <f t="shared" si="3"/>
        <v>0.752555118285536</v>
      </c>
      <c r="O9" s="609"/>
    </row>
    <row r="10" s="504" customFormat="1" ht="30" customHeight="1" spans="1:15">
      <c r="A10" s="528" t="s">
        <v>25</v>
      </c>
      <c r="B10" s="529">
        <v>23448.315</v>
      </c>
      <c r="C10" s="529">
        <f t="shared" si="8"/>
        <v>23448.315</v>
      </c>
      <c r="D10" s="530">
        <f>'税收预计情况（税收数据从此表引入）'!E12+1000</f>
        <v>21600</v>
      </c>
      <c r="E10" s="530">
        <f t="shared" si="7"/>
        <v>21600</v>
      </c>
      <c r="F10" s="530">
        <v>25980</v>
      </c>
      <c r="G10" s="531">
        <f>'税收预计情况（税收数据从此表引入）'!J12</f>
        <v>24320</v>
      </c>
      <c r="H10" s="529">
        <f t="shared" ref="H10:H15" si="9">B10</f>
        <v>23448.315</v>
      </c>
      <c r="I10" s="532">
        <v>25980</v>
      </c>
      <c r="J10" s="606">
        <f t="shared" si="1"/>
        <v>0.0855701388888888</v>
      </c>
      <c r="K10" s="607">
        <f t="shared" si="2"/>
        <v>0</v>
      </c>
      <c r="L10" s="607">
        <f t="shared" si="5"/>
        <v>0.125925925925926</v>
      </c>
      <c r="M10" s="606">
        <f t="shared" si="6"/>
        <v>0.0371747394215747</v>
      </c>
      <c r="N10" s="608">
        <f t="shared" si="3"/>
        <v>0.0855701388888888</v>
      </c>
      <c r="O10" s="609" t="s">
        <v>26</v>
      </c>
    </row>
    <row r="11" s="504" customFormat="1" ht="30" customHeight="1" spans="1:15">
      <c r="A11" s="528" t="s">
        <v>27</v>
      </c>
      <c r="B11" s="529">
        <v>6168.8</v>
      </c>
      <c r="C11" s="529">
        <f t="shared" si="8"/>
        <v>6168.8</v>
      </c>
      <c r="D11" s="530">
        <f>'税收预计情况（税收数据从此表引入）'!E13</f>
        <v>5720.16</v>
      </c>
      <c r="E11" s="530">
        <f t="shared" si="7"/>
        <v>5720.16</v>
      </c>
      <c r="F11" s="530">
        <v>6168.8</v>
      </c>
      <c r="G11" s="531">
        <f>'税收预计情况（税收数据从此表引入）'!J13</f>
        <v>7626.88</v>
      </c>
      <c r="H11" s="529">
        <f t="shared" si="9"/>
        <v>6168.8</v>
      </c>
      <c r="I11" s="532">
        <v>6168.8</v>
      </c>
      <c r="J11" s="606">
        <f t="shared" si="1"/>
        <v>0.0784313725490197</v>
      </c>
      <c r="K11" s="607">
        <f t="shared" si="2"/>
        <v>0</v>
      </c>
      <c r="L11" s="607">
        <f t="shared" si="5"/>
        <v>0.333333333333333</v>
      </c>
      <c r="M11" s="606">
        <f t="shared" si="6"/>
        <v>0.236363636363636</v>
      </c>
      <c r="N11" s="608">
        <f t="shared" si="3"/>
        <v>0.0784313725490197</v>
      </c>
      <c r="O11" s="609"/>
    </row>
    <row r="12" ht="30" customHeight="1" spans="1:15">
      <c r="A12" s="528" t="s">
        <v>28</v>
      </c>
      <c r="B12" s="529">
        <v>4000</v>
      </c>
      <c r="C12" s="529">
        <f t="shared" si="8"/>
        <v>4000</v>
      </c>
      <c r="D12" s="530">
        <f>'税收预计情况（税收数据从此表引入）'!E14</f>
        <v>3200</v>
      </c>
      <c r="E12" s="530">
        <f t="shared" si="7"/>
        <v>3200</v>
      </c>
      <c r="F12" s="530">
        <v>3600</v>
      </c>
      <c r="G12" s="531">
        <f>'税收预计情况（税收数据从此表引入）'!J14</f>
        <v>4480</v>
      </c>
      <c r="H12" s="529">
        <f t="shared" si="9"/>
        <v>4000</v>
      </c>
      <c r="I12" s="532">
        <v>3600</v>
      </c>
      <c r="J12" s="606">
        <f t="shared" si="1"/>
        <v>0.25</v>
      </c>
      <c r="K12" s="607">
        <f t="shared" si="2"/>
        <v>0</v>
      </c>
      <c r="L12" s="607">
        <f t="shared" si="5"/>
        <v>0.4</v>
      </c>
      <c r="M12" s="606">
        <f t="shared" si="6"/>
        <v>0.12</v>
      </c>
      <c r="N12" s="608">
        <f t="shared" si="3"/>
        <v>0.25</v>
      </c>
      <c r="O12" s="609"/>
    </row>
    <row r="13" s="504" customFormat="1" ht="30" customHeight="1" spans="1:15">
      <c r="A13" s="528" t="s">
        <v>29</v>
      </c>
      <c r="B13" s="529">
        <v>2600</v>
      </c>
      <c r="C13" s="529">
        <f t="shared" si="8"/>
        <v>2600</v>
      </c>
      <c r="D13" s="530">
        <f>'税收预计情况（税收数据从此表引入）'!E15</f>
        <v>1600</v>
      </c>
      <c r="E13" s="530">
        <f t="shared" si="7"/>
        <v>1600</v>
      </c>
      <c r="F13" s="530">
        <v>1700</v>
      </c>
      <c r="G13" s="531">
        <f>'税收预计情况（税收数据从此表引入）'!J15</f>
        <v>2560</v>
      </c>
      <c r="H13" s="529">
        <f t="shared" si="9"/>
        <v>2600</v>
      </c>
      <c r="I13" s="532">
        <v>1700</v>
      </c>
      <c r="J13" s="606">
        <f t="shared" si="1"/>
        <v>0.625</v>
      </c>
      <c r="K13" s="607">
        <f t="shared" si="2"/>
        <v>0</v>
      </c>
      <c r="L13" s="607">
        <f t="shared" si="5"/>
        <v>0.6</v>
      </c>
      <c r="M13" s="606">
        <f t="shared" si="6"/>
        <v>-0.0153846153846154</v>
      </c>
      <c r="N13" s="608">
        <f t="shared" si="3"/>
        <v>0.625</v>
      </c>
      <c r="O13" s="609"/>
    </row>
    <row r="14" s="504" customFormat="1" ht="30" customHeight="1" spans="1:15">
      <c r="A14" s="528" t="s">
        <v>30</v>
      </c>
      <c r="B14" s="529">
        <v>13590.988</v>
      </c>
      <c r="C14" s="529">
        <f t="shared" si="8"/>
        <v>13590.988</v>
      </c>
      <c r="D14" s="530">
        <f>'税收预计情况（税收数据从此表引入）'!E16+500</f>
        <v>13467.7</v>
      </c>
      <c r="E14" s="530">
        <f t="shared" si="7"/>
        <v>13467.7</v>
      </c>
      <c r="F14" s="530">
        <v>15422</v>
      </c>
      <c r="G14" s="531">
        <f>'税收预计情况（税收数据从此表引入）'!J16</f>
        <v>10767.36</v>
      </c>
      <c r="H14" s="529">
        <f t="shared" si="9"/>
        <v>13590.988</v>
      </c>
      <c r="I14" s="532">
        <v>15422</v>
      </c>
      <c r="J14" s="606">
        <f t="shared" si="1"/>
        <v>0.00915434706742803</v>
      </c>
      <c r="K14" s="607">
        <f t="shared" si="2"/>
        <v>0</v>
      </c>
      <c r="L14" s="607">
        <f t="shared" si="5"/>
        <v>-0.200504911751821</v>
      </c>
      <c r="M14" s="606">
        <f t="shared" si="6"/>
        <v>-0.207757375696307</v>
      </c>
      <c r="N14" s="608">
        <f t="shared" si="3"/>
        <v>0.00915434706742803</v>
      </c>
      <c r="O14" s="609" t="s">
        <v>31</v>
      </c>
    </row>
    <row r="15" s="504" customFormat="1" ht="30" customHeight="1" spans="1:15">
      <c r="A15" s="528" t="s">
        <v>32</v>
      </c>
      <c r="B15" s="529">
        <v>7711</v>
      </c>
      <c r="C15" s="529">
        <f t="shared" si="8"/>
        <v>7711</v>
      </c>
      <c r="D15" s="530">
        <f>'税收预计情况（税收数据从此表引入）'!E17+731</f>
        <v>6409.1</v>
      </c>
      <c r="E15" s="530">
        <f t="shared" si="7"/>
        <v>6409.1</v>
      </c>
      <c r="F15" s="530">
        <v>9673.8</v>
      </c>
      <c r="G15" s="531">
        <f>'税收预计情况（税收数据从此表引入）'!J17</f>
        <v>8972.8</v>
      </c>
      <c r="H15" s="529">
        <f t="shared" si="9"/>
        <v>7711</v>
      </c>
      <c r="I15" s="532">
        <v>9673.8</v>
      </c>
      <c r="J15" s="606">
        <f t="shared" si="1"/>
        <v>0.203133045201354</v>
      </c>
      <c r="K15" s="607">
        <f t="shared" si="2"/>
        <v>0</v>
      </c>
      <c r="L15" s="607">
        <f t="shared" si="5"/>
        <v>0.400009361688849</v>
      </c>
      <c r="M15" s="606">
        <f t="shared" si="6"/>
        <v>0.163636363636364</v>
      </c>
      <c r="N15" s="608">
        <f t="shared" si="3"/>
        <v>0.203133045201354</v>
      </c>
      <c r="O15" s="609" t="s">
        <v>33</v>
      </c>
    </row>
    <row r="16" s="504" customFormat="1" ht="30" customHeight="1" spans="1:15">
      <c r="A16" s="533" t="s">
        <v>34</v>
      </c>
      <c r="B16" s="529"/>
      <c r="C16" s="529">
        <f t="shared" si="8"/>
        <v>0</v>
      </c>
      <c r="D16" s="530"/>
      <c r="E16" s="530"/>
      <c r="F16" s="530"/>
      <c r="G16" s="534">
        <f>'税收预计情况（税收数据从此表引入）'!J18</f>
        <v>0</v>
      </c>
      <c r="H16" s="529"/>
      <c r="I16" s="532"/>
      <c r="J16" s="606">
        <f t="shared" si="1"/>
        <v>0</v>
      </c>
      <c r="K16" s="606">
        <f t="shared" si="2"/>
        <v>0</v>
      </c>
      <c r="L16" s="610">
        <f t="shared" si="5"/>
        <v>0</v>
      </c>
      <c r="M16" s="606">
        <f t="shared" si="6"/>
        <v>0</v>
      </c>
      <c r="N16" s="608">
        <f t="shared" si="3"/>
        <v>0</v>
      </c>
      <c r="O16" s="609"/>
    </row>
    <row r="17" s="506" customFormat="1" ht="30" customHeight="1" spans="1:17">
      <c r="A17" s="535" t="s">
        <v>35</v>
      </c>
      <c r="B17" s="526">
        <f>SUM(B18:B23)</f>
        <v>17500</v>
      </c>
      <c r="C17" s="536">
        <f t="shared" si="8"/>
        <v>17500</v>
      </c>
      <c r="D17" s="526">
        <f t="shared" ref="D17:G17" si="10">SUM(D18:D23)</f>
        <v>27500.15</v>
      </c>
      <c r="E17" s="526">
        <f t="shared" si="10"/>
        <v>11369</v>
      </c>
      <c r="F17" s="525">
        <f t="shared" si="10"/>
        <v>10000</v>
      </c>
      <c r="G17" s="525">
        <f t="shared" si="10"/>
        <v>28000</v>
      </c>
      <c r="H17" s="526">
        <f>SUM(H19:H23)</f>
        <v>17500</v>
      </c>
      <c r="I17" s="525">
        <f>SUM(I19:I23)</f>
        <v>5000</v>
      </c>
      <c r="J17" s="599">
        <f t="shared" si="1"/>
        <v>-0.363639834691811</v>
      </c>
      <c r="K17" s="599">
        <f t="shared" si="2"/>
        <v>-0.5</v>
      </c>
      <c r="L17" s="603">
        <f t="shared" si="5"/>
        <v>0.0181762644931027</v>
      </c>
      <c r="M17" s="599">
        <f t="shared" si="6"/>
        <v>0.6</v>
      </c>
      <c r="N17" s="604">
        <f t="shared" si="3"/>
        <v>0.539273462925499</v>
      </c>
      <c r="O17" s="602"/>
      <c r="P17" s="611"/>
      <c r="Q17" s="611"/>
    </row>
    <row r="18" s="506" customFormat="1" ht="30" customHeight="1" spans="1:17">
      <c r="A18" s="528" t="s">
        <v>36</v>
      </c>
      <c r="B18" s="530">
        <v>0</v>
      </c>
      <c r="C18" s="529">
        <f t="shared" si="8"/>
        <v>0</v>
      </c>
      <c r="D18" s="530">
        <v>114.15</v>
      </c>
      <c r="E18" s="537"/>
      <c r="F18" s="537"/>
      <c r="G18" s="529">
        <v>100</v>
      </c>
      <c r="H18" s="537"/>
      <c r="I18" s="537"/>
      <c r="J18" s="612"/>
      <c r="K18" s="613"/>
      <c r="L18" s="607">
        <f t="shared" si="5"/>
        <v>-0.123959702146299</v>
      </c>
      <c r="M18" s="606">
        <f t="shared" si="6"/>
        <v>0</v>
      </c>
      <c r="N18" s="614"/>
      <c r="O18" s="615"/>
      <c r="P18" s="611"/>
      <c r="Q18" s="611"/>
    </row>
    <row r="19" s="504" customFormat="1" ht="30" customHeight="1" spans="1:15">
      <c r="A19" s="528" t="s">
        <v>37</v>
      </c>
      <c r="B19" s="529">
        <v>300</v>
      </c>
      <c r="C19" s="529">
        <f t="shared" si="8"/>
        <v>300</v>
      </c>
      <c r="D19" s="530">
        <f>793+100</f>
        <v>893</v>
      </c>
      <c r="E19" s="529">
        <f t="shared" ref="E19:E23" si="11">D19</f>
        <v>893</v>
      </c>
      <c r="F19" s="530">
        <v>300</v>
      </c>
      <c r="G19" s="529">
        <v>800</v>
      </c>
      <c r="H19" s="529">
        <f>B19</f>
        <v>300</v>
      </c>
      <c r="I19" s="530">
        <v>300</v>
      </c>
      <c r="J19" s="606">
        <f t="shared" ref="J19:J32" si="12">IFERROR((B19-D19)/D19,0)</f>
        <v>-0.664053751399776</v>
      </c>
      <c r="K19" s="607">
        <f t="shared" ref="K19:K32" si="13">IFERROR((I19-F19)/F19,0)</f>
        <v>0</v>
      </c>
      <c r="L19" s="607">
        <f t="shared" si="5"/>
        <v>-0.104143337066069</v>
      </c>
      <c r="M19" s="606">
        <f t="shared" si="6"/>
        <v>1.66666666666667</v>
      </c>
      <c r="N19" s="608">
        <f t="shared" ref="N19:N32" si="14">IFERROR((B19-E19)/E19,0)</f>
        <v>-0.664053751399776</v>
      </c>
      <c r="O19" s="615" t="s">
        <v>38</v>
      </c>
    </row>
    <row r="20" s="504" customFormat="1" ht="30" customHeight="1" spans="1:15">
      <c r="A20" s="528" t="s">
        <v>39</v>
      </c>
      <c r="B20" s="529">
        <v>600</v>
      </c>
      <c r="C20" s="529">
        <f t="shared" si="8"/>
        <v>600</v>
      </c>
      <c r="D20" s="538">
        <f>600+60</f>
        <v>660</v>
      </c>
      <c r="E20" s="529">
        <f t="shared" si="11"/>
        <v>660</v>
      </c>
      <c r="F20" s="529">
        <v>600</v>
      </c>
      <c r="G20" s="529">
        <v>600</v>
      </c>
      <c r="H20" s="529">
        <f>B20</f>
        <v>600</v>
      </c>
      <c r="I20" s="529">
        <v>600</v>
      </c>
      <c r="J20" s="606">
        <f t="shared" si="12"/>
        <v>-0.0909090909090909</v>
      </c>
      <c r="K20" s="607">
        <f t="shared" si="13"/>
        <v>0</v>
      </c>
      <c r="L20" s="607">
        <f t="shared" si="5"/>
        <v>-0.0909090909090909</v>
      </c>
      <c r="M20" s="606">
        <f t="shared" si="6"/>
        <v>0</v>
      </c>
      <c r="N20" s="608">
        <f t="shared" si="14"/>
        <v>-0.0909090909090909</v>
      </c>
      <c r="O20" s="615" t="s">
        <v>40</v>
      </c>
    </row>
    <row r="21" s="504" customFormat="1" ht="30" customHeight="1" spans="1:15">
      <c r="A21" s="528" t="s">
        <v>41</v>
      </c>
      <c r="B21" s="529">
        <v>1000</v>
      </c>
      <c r="C21" s="529">
        <f t="shared" si="8"/>
        <v>1000</v>
      </c>
      <c r="D21" s="532">
        <f>498+150+3835</f>
        <v>4483</v>
      </c>
      <c r="E21" s="529">
        <f t="shared" si="11"/>
        <v>4483</v>
      </c>
      <c r="F21" s="539">
        <v>3000</v>
      </c>
      <c r="G21" s="529">
        <v>600</v>
      </c>
      <c r="H21" s="529">
        <f>B21</f>
        <v>1000</v>
      </c>
      <c r="I21" s="539">
        <v>1000</v>
      </c>
      <c r="J21" s="606">
        <f t="shared" si="12"/>
        <v>-0.77693508811064</v>
      </c>
      <c r="K21" s="607">
        <f t="shared" si="13"/>
        <v>-0.666666666666667</v>
      </c>
      <c r="L21" s="607">
        <f t="shared" si="5"/>
        <v>-0.866161052866384</v>
      </c>
      <c r="M21" s="606">
        <f t="shared" si="6"/>
        <v>-0.4</v>
      </c>
      <c r="N21" s="608">
        <f t="shared" si="14"/>
        <v>-0.77693508811064</v>
      </c>
      <c r="O21" s="615" t="s">
        <v>42</v>
      </c>
    </row>
    <row r="22" s="504" customFormat="1" ht="30" customHeight="1" spans="1:15">
      <c r="A22" s="528" t="s">
        <v>43</v>
      </c>
      <c r="B22" s="529">
        <v>12500</v>
      </c>
      <c r="C22" s="529">
        <f t="shared" si="8"/>
        <v>12500</v>
      </c>
      <c r="D22" s="532">
        <f>14417+1600</f>
        <v>16017</v>
      </c>
      <c r="E22" s="529"/>
      <c r="F22" s="530">
        <f>0+5000+7000-7000</f>
        <v>5000</v>
      </c>
      <c r="G22" s="529">
        <v>22500</v>
      </c>
      <c r="H22" s="529">
        <f>B22</f>
        <v>12500</v>
      </c>
      <c r="I22" s="530">
        <v>2000</v>
      </c>
      <c r="J22" s="606">
        <f t="shared" si="12"/>
        <v>-0.219579197103078</v>
      </c>
      <c r="K22" s="607">
        <f t="shared" si="13"/>
        <v>-0.6</v>
      </c>
      <c r="L22" s="607">
        <f t="shared" si="5"/>
        <v>0.40475744521446</v>
      </c>
      <c r="M22" s="606">
        <f t="shared" si="6"/>
        <v>0.8</v>
      </c>
      <c r="N22" s="608">
        <f t="shared" si="14"/>
        <v>0</v>
      </c>
      <c r="O22" s="615" t="s">
        <v>44</v>
      </c>
    </row>
    <row r="23" s="504" customFormat="1" ht="30" customHeight="1" spans="1:15">
      <c r="A23" s="540" t="s">
        <v>45</v>
      </c>
      <c r="B23" s="541">
        <v>3100</v>
      </c>
      <c r="C23" s="529">
        <f t="shared" si="8"/>
        <v>3100</v>
      </c>
      <c r="D23" s="542">
        <f>4833+500</f>
        <v>5333</v>
      </c>
      <c r="E23" s="541">
        <f t="shared" si="11"/>
        <v>5333</v>
      </c>
      <c r="F23" s="543">
        <v>1100</v>
      </c>
      <c r="G23" s="529">
        <v>3400</v>
      </c>
      <c r="H23" s="541">
        <f>B23</f>
        <v>3100</v>
      </c>
      <c r="I23" s="543">
        <v>1100</v>
      </c>
      <c r="J23" s="616">
        <f t="shared" si="12"/>
        <v>-0.41871366960435</v>
      </c>
      <c r="K23" s="617">
        <f t="shared" si="13"/>
        <v>0</v>
      </c>
      <c r="L23" s="607">
        <f t="shared" si="5"/>
        <v>-0.36246015375961</v>
      </c>
      <c r="M23" s="606">
        <f t="shared" si="6"/>
        <v>0.0967741935483871</v>
      </c>
      <c r="N23" s="618">
        <f t="shared" si="14"/>
        <v>-0.41871366960435</v>
      </c>
      <c r="O23" s="615" t="s">
        <v>46</v>
      </c>
    </row>
    <row r="24" s="507" customFormat="1" ht="30" customHeight="1" spans="1:15">
      <c r="A24" s="535" t="s">
        <v>47</v>
      </c>
      <c r="B24" s="526">
        <f>SUM(B25:B29)</f>
        <v>412499.71</v>
      </c>
      <c r="C24" s="536">
        <f t="shared" si="8"/>
        <v>412499.71</v>
      </c>
      <c r="D24" s="526">
        <f>SUM(D25:D29)</f>
        <v>464510</v>
      </c>
      <c r="E24" s="526">
        <f t="shared" ref="E24:I24" si="15">SUM(E25:E29)</f>
        <v>464510</v>
      </c>
      <c r="F24" s="526">
        <f t="shared" si="15"/>
        <v>546025.21</v>
      </c>
      <c r="G24" s="526">
        <f t="shared" si="15"/>
        <v>412358.88</v>
      </c>
      <c r="H24" s="526">
        <f t="shared" si="15"/>
        <v>412499.71</v>
      </c>
      <c r="I24" s="525">
        <f t="shared" si="15"/>
        <v>438354</v>
      </c>
      <c r="J24" s="599">
        <f t="shared" si="12"/>
        <v>-0.111968073884308</v>
      </c>
      <c r="K24" s="603">
        <f t="shared" si="13"/>
        <v>-0.197190913584375</v>
      </c>
      <c r="L24" s="619">
        <f t="shared" si="5"/>
        <v>-0.11227125357904</v>
      </c>
      <c r="M24" s="599">
        <f t="shared" si="6"/>
        <v>-0.000341406300624934</v>
      </c>
      <c r="N24" s="604">
        <f t="shared" si="14"/>
        <v>-0.111968073884308</v>
      </c>
      <c r="O24" s="620"/>
    </row>
    <row r="25" s="504" customFormat="1" customHeight="1" spans="1:16">
      <c r="A25" s="528" t="s">
        <v>48</v>
      </c>
      <c r="B25" s="529">
        <v>11559</v>
      </c>
      <c r="C25" s="529">
        <f t="shared" si="8"/>
        <v>11559</v>
      </c>
      <c r="D25" s="530">
        <v>11559</v>
      </c>
      <c r="E25" s="530">
        <f>D25</f>
        <v>11559</v>
      </c>
      <c r="F25" s="530">
        <v>11559</v>
      </c>
      <c r="G25" s="530">
        <v>11559</v>
      </c>
      <c r="H25" s="529">
        <f t="shared" ref="H25:H31" si="16">B25</f>
        <v>11559</v>
      </c>
      <c r="I25" s="529">
        <v>11559</v>
      </c>
      <c r="J25" s="606">
        <f t="shared" si="12"/>
        <v>0</v>
      </c>
      <c r="K25" s="607">
        <f t="shared" si="13"/>
        <v>0</v>
      </c>
      <c r="L25" s="621">
        <f t="shared" si="5"/>
        <v>0</v>
      </c>
      <c r="M25" s="606">
        <f t="shared" si="6"/>
        <v>0</v>
      </c>
      <c r="N25" s="622">
        <f t="shared" si="14"/>
        <v>0</v>
      </c>
      <c r="O25" s="623" t="s">
        <v>49</v>
      </c>
      <c r="P25" s="624"/>
    </row>
    <row r="26" s="504" customFormat="1" ht="50.1" customHeight="1" spans="1:16">
      <c r="A26" s="528" t="s">
        <v>50</v>
      </c>
      <c r="B26" s="529">
        <v>100635</v>
      </c>
      <c r="C26" s="529">
        <f t="shared" si="8"/>
        <v>100635</v>
      </c>
      <c r="D26" s="530">
        <f>100635+68000</f>
        <v>168635</v>
      </c>
      <c r="E26" s="530">
        <f t="shared" ref="E26:E29" si="17">D26</f>
        <v>168635</v>
      </c>
      <c r="F26" s="530">
        <f>100635+43000</f>
        <v>143635</v>
      </c>
      <c r="G26" s="530">
        <f>100635-442</f>
        <v>100193</v>
      </c>
      <c r="H26" s="529">
        <f t="shared" si="16"/>
        <v>100635</v>
      </c>
      <c r="I26" s="529">
        <v>100635</v>
      </c>
      <c r="J26" s="606">
        <f t="shared" si="12"/>
        <v>-0.403237762030421</v>
      </c>
      <c r="K26" s="607">
        <f t="shared" si="13"/>
        <v>-0.29936993072719</v>
      </c>
      <c r="L26" s="607">
        <f t="shared" si="5"/>
        <v>-0.405858807483618</v>
      </c>
      <c r="M26" s="606">
        <f t="shared" si="6"/>
        <v>-0.00439211010085954</v>
      </c>
      <c r="N26" s="622">
        <f t="shared" si="14"/>
        <v>-0.403237762030421</v>
      </c>
      <c r="O26" s="615" t="s">
        <v>51</v>
      </c>
      <c r="P26" s="624"/>
    </row>
    <row r="27" s="504" customFormat="1" ht="92.25" customHeight="1" spans="1:18">
      <c r="A27" s="528" t="s">
        <v>52</v>
      </c>
      <c r="B27" s="529">
        <v>213996.71</v>
      </c>
      <c r="C27" s="529">
        <f t="shared" si="8"/>
        <v>213996.71</v>
      </c>
      <c r="D27" s="529">
        <v>198007</v>
      </c>
      <c r="E27" s="530">
        <f t="shared" si="17"/>
        <v>198007</v>
      </c>
      <c r="F27" s="529">
        <f>160689.21-43000</f>
        <v>117689.21</v>
      </c>
      <c r="G27" s="530">
        <f>150000+11011+2</f>
        <v>161013</v>
      </c>
      <c r="H27" s="529">
        <f t="shared" si="16"/>
        <v>213996.71</v>
      </c>
      <c r="I27" s="529">
        <f>18510+31300+195100</f>
        <v>244910</v>
      </c>
      <c r="J27" s="606">
        <f t="shared" si="12"/>
        <v>0.0807532561980132</v>
      </c>
      <c r="K27" s="607">
        <f t="shared" si="13"/>
        <v>1.08098941270827</v>
      </c>
      <c r="L27" s="607">
        <f t="shared" si="5"/>
        <v>-0.186831778674491</v>
      </c>
      <c r="M27" s="606">
        <f t="shared" si="6"/>
        <v>-0.247591236332559</v>
      </c>
      <c r="N27" s="622">
        <f t="shared" si="14"/>
        <v>0.0807532561980132</v>
      </c>
      <c r="O27" s="615" t="s">
        <v>53</v>
      </c>
      <c r="P27" s="625" t="s">
        <v>54</v>
      </c>
      <c r="Q27" s="631"/>
      <c r="R27" s="625"/>
    </row>
    <row r="28" s="504" customFormat="1" customHeight="1" spans="1:15">
      <c r="A28" s="544" t="s">
        <v>55</v>
      </c>
      <c r="B28" s="529">
        <v>12250</v>
      </c>
      <c r="C28" s="529">
        <f t="shared" si="8"/>
        <v>12250</v>
      </c>
      <c r="D28" s="532">
        <v>12250</v>
      </c>
      <c r="E28" s="530">
        <f t="shared" si="17"/>
        <v>12250</v>
      </c>
      <c r="F28" s="532">
        <v>12250</v>
      </c>
      <c r="G28" s="545">
        <v>0</v>
      </c>
      <c r="H28" s="529">
        <f t="shared" si="16"/>
        <v>12250</v>
      </c>
      <c r="I28" s="529">
        <v>12250</v>
      </c>
      <c r="J28" s="606">
        <f t="shared" si="12"/>
        <v>0</v>
      </c>
      <c r="K28" s="607">
        <f t="shared" si="13"/>
        <v>0</v>
      </c>
      <c r="L28" s="607">
        <f t="shared" si="5"/>
        <v>-1</v>
      </c>
      <c r="M28" s="606">
        <f t="shared" si="6"/>
        <v>-1</v>
      </c>
      <c r="N28" s="622">
        <f t="shared" si="14"/>
        <v>0</v>
      </c>
      <c r="O28" s="626"/>
    </row>
    <row r="29" s="507" customFormat="1" ht="112.5" customHeight="1" spans="1:26">
      <c r="A29" s="528" t="s">
        <v>56</v>
      </c>
      <c r="B29" s="529">
        <v>74059</v>
      </c>
      <c r="C29" s="529">
        <f t="shared" si="8"/>
        <v>74059</v>
      </c>
      <c r="D29" s="530">
        <v>74059</v>
      </c>
      <c r="E29" s="530">
        <f t="shared" si="17"/>
        <v>74059</v>
      </c>
      <c r="F29" s="530">
        <f>225892+35000</f>
        <v>260892</v>
      </c>
      <c r="G29" s="530">
        <f>1558.69+4951.08+1221.11+98863+33000</f>
        <v>139593.88</v>
      </c>
      <c r="H29" s="529">
        <f t="shared" si="16"/>
        <v>74059</v>
      </c>
      <c r="I29" s="529">
        <v>69000</v>
      </c>
      <c r="J29" s="606">
        <f t="shared" si="12"/>
        <v>0</v>
      </c>
      <c r="K29" s="607">
        <f t="shared" si="13"/>
        <v>-0.735522745043926</v>
      </c>
      <c r="L29" s="607">
        <f t="shared" si="5"/>
        <v>0.88490095734482</v>
      </c>
      <c r="M29" s="606">
        <f t="shared" si="6"/>
        <v>0.88490095734482</v>
      </c>
      <c r="N29" s="608">
        <f t="shared" si="14"/>
        <v>0</v>
      </c>
      <c r="O29" s="627" t="s">
        <v>57</v>
      </c>
      <c r="P29" s="625"/>
      <c r="Q29" s="663"/>
      <c r="X29" s="664"/>
      <c r="Y29" s="664"/>
      <c r="Z29" s="668"/>
    </row>
    <row r="30" s="507" customFormat="1" ht="30" customHeight="1" spans="1:26">
      <c r="A30" s="546" t="s">
        <v>58</v>
      </c>
      <c r="B30" s="536">
        <v>0</v>
      </c>
      <c r="C30" s="547">
        <f t="shared" si="8"/>
        <v>0</v>
      </c>
      <c r="D30" s="548">
        <v>0</v>
      </c>
      <c r="E30" s="548"/>
      <c r="F30" s="548"/>
      <c r="G30" s="548">
        <f>SUM(G31:G31)</f>
        <v>5000</v>
      </c>
      <c r="H30" s="536">
        <f t="shared" si="16"/>
        <v>0</v>
      </c>
      <c r="I30" s="536"/>
      <c r="J30" s="628">
        <f t="shared" si="12"/>
        <v>0</v>
      </c>
      <c r="K30" s="628"/>
      <c r="L30" s="628">
        <f t="shared" si="5"/>
        <v>0</v>
      </c>
      <c r="M30" s="628">
        <f t="shared" si="6"/>
        <v>0</v>
      </c>
      <c r="N30" s="629"/>
      <c r="O30" s="630" t="s">
        <v>59</v>
      </c>
      <c r="P30" s="631"/>
      <c r="Q30" s="663"/>
      <c r="X30" s="664"/>
      <c r="Y30" s="664"/>
      <c r="Z30" s="668"/>
    </row>
    <row r="31" s="507" customFormat="1" customHeight="1" spans="1:26">
      <c r="A31" s="528" t="s">
        <v>60</v>
      </c>
      <c r="B31" s="549">
        <v>0</v>
      </c>
      <c r="C31" s="550">
        <f t="shared" si="8"/>
        <v>0</v>
      </c>
      <c r="D31" s="551">
        <v>0</v>
      </c>
      <c r="E31" s="552"/>
      <c r="F31" s="552"/>
      <c r="G31" s="553">
        <v>5000</v>
      </c>
      <c r="H31" s="549">
        <f t="shared" si="16"/>
        <v>0</v>
      </c>
      <c r="I31" s="549"/>
      <c r="J31" s="632"/>
      <c r="K31" s="632"/>
      <c r="L31" s="621">
        <f t="shared" ref="L31:L32" si="18">IFERROR((G31-D31)/D31,0)</f>
        <v>0</v>
      </c>
      <c r="M31" s="633">
        <f t="shared" ref="M31:M32" si="19">IFERROR((G31-B31)/B31,0)</f>
        <v>0</v>
      </c>
      <c r="N31" s="622"/>
      <c r="O31" s="634"/>
      <c r="P31" s="631"/>
      <c r="Q31" s="663"/>
      <c r="X31" s="664"/>
      <c r="Y31" s="664"/>
      <c r="Z31" s="668"/>
    </row>
    <row r="32" s="507" customFormat="1" ht="30" customHeight="1" spans="1:27">
      <c r="A32" s="222" t="s">
        <v>61</v>
      </c>
      <c r="B32" s="525">
        <f>B24+B5+1</f>
        <v>665000.213</v>
      </c>
      <c r="C32" s="525">
        <v>645000</v>
      </c>
      <c r="D32" s="525">
        <f>D24+D5</f>
        <v>697010.3855</v>
      </c>
      <c r="E32" s="525">
        <f>E24+E5</f>
        <v>674535.918435</v>
      </c>
      <c r="F32" s="525">
        <f>F24+F5</f>
        <v>795340.75</v>
      </c>
      <c r="G32" s="525">
        <f>G24+G5+G30</f>
        <v>650359.04</v>
      </c>
      <c r="H32" s="525">
        <f>H24+H5</f>
        <v>672217.158</v>
      </c>
      <c r="I32" s="525">
        <f>I24+I5</f>
        <v>678231.54</v>
      </c>
      <c r="J32" s="635">
        <f t="shared" si="12"/>
        <v>-0.0459249577422545</v>
      </c>
      <c r="K32" s="635">
        <f t="shared" si="13"/>
        <v>-0.147244071173268</v>
      </c>
      <c r="L32" s="599">
        <f t="shared" si="18"/>
        <v>-0.0669306318392008</v>
      </c>
      <c r="M32" s="599">
        <f t="shared" si="19"/>
        <v>-0.0220167944517635</v>
      </c>
      <c r="N32" s="636">
        <f t="shared" si="14"/>
        <v>-0.0141366903887401</v>
      </c>
      <c r="O32" s="637"/>
      <c r="Q32" s="665"/>
      <c r="Z32" s="669"/>
      <c r="AA32" s="669"/>
    </row>
    <row r="33" s="507" customFormat="1" customHeight="1" spans="1:27">
      <c r="A33" s="554"/>
      <c r="B33" s="555"/>
      <c r="C33" s="555"/>
      <c r="D33" s="555"/>
      <c r="E33" s="555"/>
      <c r="F33" s="555"/>
      <c r="G33" s="555"/>
      <c r="H33" s="555"/>
      <c r="I33" s="555"/>
      <c r="J33" s="638"/>
      <c r="K33" s="638"/>
      <c r="L33" s="638"/>
      <c r="M33" s="638"/>
      <c r="N33" s="638"/>
      <c r="O33" s="638"/>
      <c r="Q33" s="666"/>
      <c r="Z33" s="669"/>
      <c r="AA33" s="669"/>
    </row>
    <row r="34" s="507" customFormat="1" ht="36" customHeight="1" spans="1:27">
      <c r="A34" s="556" t="s">
        <v>62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Q34" s="666"/>
      <c r="Z34" s="669"/>
      <c r="AA34" s="669"/>
    </row>
    <row r="35" s="508" customFormat="1" customHeight="1" spans="1:27">
      <c r="A35" s="558"/>
      <c r="B35" s="555"/>
      <c r="C35" s="555"/>
      <c r="D35" s="555"/>
      <c r="E35" s="555"/>
      <c r="F35" s="559"/>
      <c r="G35" s="560"/>
      <c r="H35" s="560"/>
      <c r="I35" s="555"/>
      <c r="J35" s="639"/>
      <c r="K35" s="639"/>
      <c r="L35" s="639"/>
      <c r="M35" s="639"/>
      <c r="N35" s="639"/>
      <c r="O35" s="640" t="s">
        <v>2</v>
      </c>
      <c r="Q35" s="666"/>
      <c r="Z35" s="670"/>
      <c r="AA35" s="670"/>
    </row>
    <row r="36" s="508" customFormat="1" ht="39.95" customHeight="1" spans="1:27">
      <c r="A36" s="561"/>
      <c r="B36" s="562" t="s">
        <v>4</v>
      </c>
      <c r="C36" s="562" t="s">
        <v>5</v>
      </c>
      <c r="D36" s="563" t="s">
        <v>63</v>
      </c>
      <c r="E36" s="564"/>
      <c r="F36" s="565"/>
      <c r="G36" s="562" t="s">
        <v>64</v>
      </c>
      <c r="H36" s="566"/>
      <c r="I36" s="641"/>
      <c r="J36" s="642"/>
      <c r="K36" s="642"/>
      <c r="L36" s="643"/>
      <c r="M36" s="644" t="s">
        <v>15</v>
      </c>
      <c r="N36" s="642"/>
      <c r="O36" s="644" t="s">
        <v>17</v>
      </c>
      <c r="Q36" s="666"/>
      <c r="Z36" s="670"/>
      <c r="AA36" s="670"/>
    </row>
    <row r="37" s="504" customFormat="1" ht="30" customHeight="1" spans="1:27">
      <c r="A37" s="567" t="s">
        <v>65</v>
      </c>
      <c r="B37" s="568">
        <v>374718</v>
      </c>
      <c r="C37" s="568">
        <v>374718</v>
      </c>
      <c r="D37" s="569">
        <f>D38+D40+D41+D42+D43</f>
        <v>0</v>
      </c>
      <c r="E37" s="570"/>
      <c r="F37" s="571"/>
      <c r="G37" s="572">
        <f>G38</f>
        <v>404959.04</v>
      </c>
      <c r="H37" s="573"/>
      <c r="I37" s="645"/>
      <c r="J37" s="646"/>
      <c r="K37" s="646"/>
      <c r="L37" s="641"/>
      <c r="M37" s="647">
        <f t="shared" ref="M37:M76" si="20">IFERROR((G37-B37)/B37,0)</f>
        <v>0.0807034623370109</v>
      </c>
      <c r="N37" s="572"/>
      <c r="O37" s="648" t="s">
        <v>66</v>
      </c>
      <c r="Z37" s="671"/>
      <c r="AA37" s="671"/>
    </row>
    <row r="38" s="504" customFormat="1" hidden="1" customHeight="1" spans="1:27">
      <c r="A38" s="574" t="s">
        <v>67</v>
      </c>
      <c r="B38" s="575">
        <v>2829</v>
      </c>
      <c r="C38" s="575"/>
      <c r="D38" s="575"/>
      <c r="E38" s="576"/>
      <c r="F38" s="577"/>
      <c r="G38" s="575">
        <f>G32-G84</f>
        <v>404959.04</v>
      </c>
      <c r="H38" s="577"/>
      <c r="I38" s="577"/>
      <c r="J38" s="513"/>
      <c r="K38" s="513"/>
      <c r="L38" s="576"/>
      <c r="M38" s="649">
        <f t="shared" si="20"/>
        <v>142.145648639095</v>
      </c>
      <c r="N38" s="575"/>
      <c r="O38" s="650"/>
      <c r="Z38" s="671"/>
      <c r="AA38" s="671"/>
    </row>
    <row r="39" s="504" customFormat="1" hidden="1" customHeight="1" spans="1:27">
      <c r="A39" s="574" t="s">
        <v>68</v>
      </c>
      <c r="B39" s="575">
        <v>229</v>
      </c>
      <c r="C39" s="575"/>
      <c r="D39" s="575"/>
      <c r="E39" s="576"/>
      <c r="F39" s="577"/>
      <c r="G39" s="575">
        <f>SUM(H39:K39)</f>
        <v>0</v>
      </c>
      <c r="H39" s="577"/>
      <c r="I39" s="577"/>
      <c r="J39" s="513"/>
      <c r="K39" s="513"/>
      <c r="L39" s="576"/>
      <c r="M39" s="649">
        <f t="shared" si="20"/>
        <v>-1</v>
      </c>
      <c r="N39" s="575"/>
      <c r="O39" s="650"/>
      <c r="Z39" s="671"/>
      <c r="AA39" s="671"/>
    </row>
    <row r="40" s="504" customFormat="1" hidden="1" customHeight="1" spans="1:27">
      <c r="A40" s="578" t="s">
        <v>69</v>
      </c>
      <c r="B40" s="579">
        <v>14429</v>
      </c>
      <c r="C40" s="575"/>
      <c r="D40" s="575"/>
      <c r="E40" s="576"/>
      <c r="F40" s="577"/>
      <c r="G40" s="575"/>
      <c r="H40" s="577"/>
      <c r="I40" s="577"/>
      <c r="J40" s="513"/>
      <c r="K40" s="513"/>
      <c r="L40" s="576"/>
      <c r="M40" s="649">
        <f t="shared" si="20"/>
        <v>-1</v>
      </c>
      <c r="N40" s="575"/>
      <c r="O40" s="650"/>
      <c r="Z40" s="671"/>
      <c r="AA40" s="671"/>
    </row>
    <row r="41" s="504" customFormat="1" hidden="1" customHeight="1" spans="1:27">
      <c r="A41" s="574" t="s">
        <v>70</v>
      </c>
      <c r="B41" s="575">
        <v>29511</v>
      </c>
      <c r="C41" s="575"/>
      <c r="D41" s="575"/>
      <c r="E41" s="576"/>
      <c r="F41" s="577"/>
      <c r="G41" s="575">
        <f t="shared" ref="G41:G49" si="21">SUM(H41:K41)</f>
        <v>0</v>
      </c>
      <c r="H41" s="577"/>
      <c r="I41" s="577"/>
      <c r="J41" s="513"/>
      <c r="K41" s="513"/>
      <c r="L41" s="576"/>
      <c r="M41" s="649">
        <f t="shared" si="20"/>
        <v>-1</v>
      </c>
      <c r="N41" s="575"/>
      <c r="O41" s="650"/>
      <c r="Z41" s="671"/>
      <c r="AA41" s="671"/>
    </row>
    <row r="42" s="504" customFormat="1" hidden="1" customHeight="1" spans="1:27">
      <c r="A42" s="574" t="s">
        <v>71</v>
      </c>
      <c r="B42" s="575">
        <v>6922</v>
      </c>
      <c r="C42" s="575"/>
      <c r="D42" s="575"/>
      <c r="E42" s="576"/>
      <c r="F42" s="577"/>
      <c r="G42" s="575">
        <f t="shared" si="21"/>
        <v>0</v>
      </c>
      <c r="H42" s="577"/>
      <c r="I42" s="651"/>
      <c r="J42" s="513"/>
      <c r="K42" s="513"/>
      <c r="L42" s="576"/>
      <c r="M42" s="649">
        <f t="shared" si="20"/>
        <v>-1</v>
      </c>
      <c r="N42" s="575"/>
      <c r="O42" s="650"/>
      <c r="Z42" s="671"/>
      <c r="AA42" s="671"/>
    </row>
    <row r="43" s="504" customFormat="1" hidden="1" customHeight="1" spans="1:27">
      <c r="A43" s="574" t="s">
        <v>72</v>
      </c>
      <c r="B43" s="575">
        <v>100198</v>
      </c>
      <c r="C43" s="575"/>
      <c r="D43" s="575"/>
      <c r="E43" s="576"/>
      <c r="F43" s="577"/>
      <c r="G43" s="575">
        <f t="shared" si="21"/>
        <v>0</v>
      </c>
      <c r="H43" s="577"/>
      <c r="I43" s="577"/>
      <c r="J43" s="513"/>
      <c r="K43" s="513"/>
      <c r="L43" s="576"/>
      <c r="M43" s="649">
        <f t="shared" si="20"/>
        <v>-1</v>
      </c>
      <c r="N43" s="575"/>
      <c r="O43" s="652" t="s">
        <v>73</v>
      </c>
      <c r="Z43" s="671"/>
      <c r="AA43" s="671"/>
    </row>
    <row r="44" s="504" customFormat="1" hidden="1" customHeight="1" spans="1:27">
      <c r="A44" s="574" t="s">
        <v>74</v>
      </c>
      <c r="B44" s="575">
        <v>5000</v>
      </c>
      <c r="C44" s="575"/>
      <c r="D44" s="575"/>
      <c r="E44" s="576"/>
      <c r="F44" s="577"/>
      <c r="G44" s="575">
        <f t="shared" si="21"/>
        <v>0</v>
      </c>
      <c r="H44" s="577"/>
      <c r="I44" s="577"/>
      <c r="J44" s="513"/>
      <c r="K44" s="513"/>
      <c r="L44" s="576"/>
      <c r="M44" s="649">
        <f t="shared" si="20"/>
        <v>-1</v>
      </c>
      <c r="N44" s="575"/>
      <c r="O44" s="650"/>
      <c r="Z44" s="671"/>
      <c r="AA44" s="671"/>
    </row>
    <row r="45" s="504" customFormat="1" hidden="1" customHeight="1" spans="1:27">
      <c r="A45" s="574" t="s">
        <v>75</v>
      </c>
      <c r="B45" s="575">
        <v>11300</v>
      </c>
      <c r="C45" s="575"/>
      <c r="D45" s="575"/>
      <c r="E45" s="576"/>
      <c r="F45" s="577"/>
      <c r="G45" s="575">
        <f t="shared" si="21"/>
        <v>0</v>
      </c>
      <c r="H45" s="577"/>
      <c r="I45" s="577"/>
      <c r="J45" s="513"/>
      <c r="K45" s="513"/>
      <c r="L45" s="576"/>
      <c r="M45" s="649">
        <f t="shared" si="20"/>
        <v>-1</v>
      </c>
      <c r="N45" s="575"/>
      <c r="O45" s="650"/>
      <c r="Z45" s="671"/>
      <c r="AA45" s="671"/>
    </row>
    <row r="46" s="504" customFormat="1" hidden="1" customHeight="1" spans="1:27">
      <c r="A46" s="574" t="s">
        <v>76</v>
      </c>
      <c r="B46" s="575">
        <v>27040</v>
      </c>
      <c r="C46" s="575"/>
      <c r="D46" s="575"/>
      <c r="E46" s="576"/>
      <c r="F46" s="577"/>
      <c r="G46" s="575">
        <f t="shared" si="21"/>
        <v>0</v>
      </c>
      <c r="H46" s="577"/>
      <c r="I46" s="577"/>
      <c r="J46" s="513"/>
      <c r="K46" s="513"/>
      <c r="L46" s="576"/>
      <c r="M46" s="649">
        <f t="shared" si="20"/>
        <v>-1</v>
      </c>
      <c r="N46" s="575"/>
      <c r="O46" s="650"/>
      <c r="Z46" s="671"/>
      <c r="AA46" s="671"/>
    </row>
    <row r="47" s="504" customFormat="1" hidden="1" customHeight="1" spans="1:27">
      <c r="A47" s="580" t="s">
        <v>77</v>
      </c>
      <c r="B47" s="581">
        <v>18500</v>
      </c>
      <c r="C47" s="581"/>
      <c r="D47" s="575"/>
      <c r="E47" s="576"/>
      <c r="F47" s="577"/>
      <c r="G47" s="575">
        <f t="shared" si="21"/>
        <v>0</v>
      </c>
      <c r="H47" s="577"/>
      <c r="I47" s="577"/>
      <c r="J47" s="513"/>
      <c r="K47" s="513"/>
      <c r="L47" s="576"/>
      <c r="M47" s="649">
        <f t="shared" si="20"/>
        <v>-1</v>
      </c>
      <c r="N47" s="575"/>
      <c r="O47" s="653"/>
      <c r="Z47" s="671"/>
      <c r="AA47" s="671"/>
    </row>
    <row r="48" s="504" customFormat="1" ht="30" hidden="1" customHeight="1" spans="1:27">
      <c r="A48" s="580" t="s">
        <v>78</v>
      </c>
      <c r="B48" s="581"/>
      <c r="C48" s="581"/>
      <c r="D48" s="575"/>
      <c r="E48" s="582"/>
      <c r="F48" s="583"/>
      <c r="G48" s="575">
        <f t="shared" si="21"/>
        <v>0</v>
      </c>
      <c r="H48" s="583"/>
      <c r="I48" s="588"/>
      <c r="J48" s="654"/>
      <c r="K48" s="654"/>
      <c r="L48" s="576"/>
      <c r="M48" s="649">
        <f t="shared" si="20"/>
        <v>0</v>
      </c>
      <c r="N48" s="575"/>
      <c r="O48" s="653"/>
      <c r="S48" s="667"/>
      <c r="Z48" s="671"/>
      <c r="AA48" s="671"/>
    </row>
    <row r="49" s="504" customFormat="1" hidden="1" customHeight="1" spans="1:27">
      <c r="A49" s="574" t="s">
        <v>79</v>
      </c>
      <c r="B49" s="575"/>
      <c r="C49" s="575"/>
      <c r="D49" s="575"/>
      <c r="E49" s="584"/>
      <c r="F49" s="577"/>
      <c r="G49" s="575">
        <f t="shared" si="21"/>
        <v>0</v>
      </c>
      <c r="H49" s="577"/>
      <c r="I49" s="577"/>
      <c r="J49" s="513"/>
      <c r="K49" s="513"/>
      <c r="L49" s="576"/>
      <c r="M49" s="649">
        <f t="shared" si="20"/>
        <v>0</v>
      </c>
      <c r="N49" s="575"/>
      <c r="O49" s="655"/>
      <c r="S49" s="667"/>
      <c r="Z49" s="671"/>
      <c r="AA49" s="671"/>
    </row>
    <row r="50" s="504" customFormat="1" ht="30" customHeight="1" spans="1:27">
      <c r="A50" s="585" t="s">
        <v>80</v>
      </c>
      <c r="B50" s="568">
        <f t="shared" ref="B50:G50" si="22">SUM(B51:B52)</f>
        <v>180000</v>
      </c>
      <c r="C50" s="568">
        <v>170000</v>
      </c>
      <c r="D50" s="568">
        <f t="shared" si="22"/>
        <v>0</v>
      </c>
      <c r="E50" s="568">
        <f t="shared" si="22"/>
        <v>0</v>
      </c>
      <c r="F50" s="568">
        <f t="shared" si="22"/>
        <v>0</v>
      </c>
      <c r="G50" s="568">
        <f t="shared" si="22"/>
        <v>171500</v>
      </c>
      <c r="H50" s="577"/>
      <c r="I50" s="577"/>
      <c r="J50" s="513"/>
      <c r="K50" s="513"/>
      <c r="L50" s="656"/>
      <c r="M50" s="657">
        <f t="shared" si="20"/>
        <v>-0.0472222222222222</v>
      </c>
      <c r="N50" s="568"/>
      <c r="O50" s="648"/>
      <c r="Z50" s="671"/>
      <c r="AA50" s="671"/>
    </row>
    <row r="51" s="504" customFormat="1" customHeight="1" spans="1:16">
      <c r="A51" s="586" t="s">
        <v>81</v>
      </c>
      <c r="B51" s="575">
        <f>34880+115120</f>
        <v>150000</v>
      </c>
      <c r="C51" s="575">
        <v>140000</v>
      </c>
      <c r="D51" s="575"/>
      <c r="E51" s="576"/>
      <c r="F51" s="577"/>
      <c r="G51" s="587">
        <f>170000-10000-5000-3500</f>
        <v>151500</v>
      </c>
      <c r="H51" s="577"/>
      <c r="I51" s="577"/>
      <c r="J51" s="513"/>
      <c r="K51" s="513"/>
      <c r="L51" s="576"/>
      <c r="M51" s="649">
        <f t="shared" si="20"/>
        <v>0.01</v>
      </c>
      <c r="N51" s="575"/>
      <c r="O51" s="650" t="s">
        <v>82</v>
      </c>
      <c r="P51" s="658" t="s">
        <v>83</v>
      </c>
    </row>
    <row r="52" s="504" customFormat="1" customHeight="1" spans="1:16">
      <c r="A52" s="574" t="s">
        <v>84</v>
      </c>
      <c r="B52" s="575">
        <f>3606+26394</f>
        <v>30000</v>
      </c>
      <c r="C52" s="575">
        <v>30000</v>
      </c>
      <c r="D52" s="575"/>
      <c r="E52" s="576"/>
      <c r="F52" s="577"/>
      <c r="G52" s="575">
        <f>25000+1000-6000</f>
        <v>20000</v>
      </c>
      <c r="H52" s="577"/>
      <c r="I52" s="577"/>
      <c r="J52" s="513"/>
      <c r="K52" s="513"/>
      <c r="L52" s="576"/>
      <c r="M52" s="649">
        <f t="shared" si="20"/>
        <v>-0.333333333333333</v>
      </c>
      <c r="N52" s="575"/>
      <c r="O52" s="650" t="s">
        <v>85</v>
      </c>
      <c r="P52" s="504" t="s">
        <v>86</v>
      </c>
    </row>
    <row r="53" s="504" customFormat="1" ht="30" customHeight="1" spans="1:15">
      <c r="A53" s="585" t="s">
        <v>87</v>
      </c>
      <c r="B53" s="572">
        <f>B54+B55+B56+B58+B59+B60+B61+B64+B69+B70+B75</f>
        <v>85282</v>
      </c>
      <c r="C53" s="572">
        <f>C54+C55+C56+C58+C59+C60+C61+C64+C69+C70+C75</f>
        <v>75282</v>
      </c>
      <c r="D53" s="572">
        <f t="shared" ref="D53:G53" si="23">D54+D55+D56+D58+D59+D60+D61+D64+D69+D70+D75</f>
        <v>0</v>
      </c>
      <c r="E53" s="572">
        <f t="shared" si="23"/>
        <v>0</v>
      </c>
      <c r="F53" s="572">
        <f t="shared" si="23"/>
        <v>0</v>
      </c>
      <c r="G53" s="572">
        <f t="shared" si="23"/>
        <v>38900</v>
      </c>
      <c r="H53" s="577"/>
      <c r="I53" s="588"/>
      <c r="J53" s="513"/>
      <c r="K53" s="513"/>
      <c r="L53" s="641"/>
      <c r="M53" s="647">
        <f t="shared" si="20"/>
        <v>-0.543866232030206</v>
      </c>
      <c r="N53" s="572"/>
      <c r="O53" s="659"/>
    </row>
    <row r="54" s="504" customFormat="1" ht="30" customHeight="1" spans="1:17">
      <c r="A54" s="586" t="s">
        <v>88</v>
      </c>
      <c r="B54" s="581">
        <v>19832</v>
      </c>
      <c r="C54" s="581">
        <f>B54</f>
        <v>19832</v>
      </c>
      <c r="D54" s="581"/>
      <c r="E54" s="588"/>
      <c r="F54" s="577"/>
      <c r="G54" s="581">
        <v>15000</v>
      </c>
      <c r="H54" s="577"/>
      <c r="I54" s="577"/>
      <c r="J54" s="513"/>
      <c r="K54" s="513"/>
      <c r="L54" s="588"/>
      <c r="M54" s="649">
        <f t="shared" si="20"/>
        <v>-0.243646631706333</v>
      </c>
      <c r="N54" s="581"/>
      <c r="O54" s="653"/>
      <c r="Q54" s="631"/>
    </row>
    <row r="55" s="504" customFormat="1" customHeight="1" spans="1:17">
      <c r="A55" s="574" t="s">
        <v>89</v>
      </c>
      <c r="B55" s="581">
        <v>12250</v>
      </c>
      <c r="C55" s="581">
        <f t="shared" ref="C55:C76" si="24">B55</f>
        <v>12250</v>
      </c>
      <c r="D55" s="581"/>
      <c r="E55" s="588"/>
      <c r="F55" s="577"/>
      <c r="G55" s="589">
        <v>0</v>
      </c>
      <c r="H55" s="577"/>
      <c r="I55" s="577"/>
      <c r="J55" s="513"/>
      <c r="K55" s="513"/>
      <c r="L55" s="588"/>
      <c r="M55" s="649">
        <f t="shared" si="20"/>
        <v>-1</v>
      </c>
      <c r="N55" s="581"/>
      <c r="O55" s="660"/>
      <c r="Q55" s="631"/>
    </row>
    <row r="56" s="504" customFormat="1" customHeight="1" spans="1:17">
      <c r="A56" s="574" t="s">
        <v>90</v>
      </c>
      <c r="B56" s="581">
        <v>10000</v>
      </c>
      <c r="C56" s="581">
        <f t="shared" si="24"/>
        <v>10000</v>
      </c>
      <c r="D56" s="581"/>
      <c r="E56" s="590"/>
      <c r="F56" s="577"/>
      <c r="G56" s="581">
        <f>10000-5000</f>
        <v>5000</v>
      </c>
      <c r="H56" s="577"/>
      <c r="I56" s="590"/>
      <c r="J56" s="513"/>
      <c r="K56" s="513"/>
      <c r="L56" s="588"/>
      <c r="M56" s="649">
        <f t="shared" si="20"/>
        <v>-0.5</v>
      </c>
      <c r="N56" s="581"/>
      <c r="O56" s="653"/>
      <c r="P56" s="504" t="s">
        <v>91</v>
      </c>
      <c r="Q56" s="631"/>
    </row>
    <row r="57" s="504" customFormat="1" ht="30" hidden="1" customHeight="1" spans="1:17">
      <c r="A57" s="591" t="s">
        <v>92</v>
      </c>
      <c r="B57" s="572"/>
      <c r="C57" s="581">
        <f t="shared" si="24"/>
        <v>0</v>
      </c>
      <c r="D57" s="572"/>
      <c r="E57" s="588"/>
      <c r="F57" s="577"/>
      <c r="G57" s="572">
        <f t="shared" ref="G57" si="25">SUM(G58,G59,G60,G61)</f>
        <v>11700</v>
      </c>
      <c r="H57" s="577"/>
      <c r="I57" s="588"/>
      <c r="J57" s="513"/>
      <c r="K57" s="513"/>
      <c r="L57" s="641"/>
      <c r="M57" s="649">
        <f t="shared" si="20"/>
        <v>0</v>
      </c>
      <c r="N57" s="572"/>
      <c r="O57" s="659"/>
      <c r="P57" s="658" t="s">
        <v>93</v>
      </c>
      <c r="Q57" s="631"/>
    </row>
    <row r="58" s="504" customFormat="1" customHeight="1" spans="1:17">
      <c r="A58" s="574" t="s">
        <v>94</v>
      </c>
      <c r="B58" s="581">
        <v>10000</v>
      </c>
      <c r="C58" s="581">
        <f t="shared" si="24"/>
        <v>10000</v>
      </c>
      <c r="D58" s="581"/>
      <c r="E58" s="588"/>
      <c r="F58" s="577"/>
      <c r="G58" s="581">
        <f>10000-2000</f>
        <v>8000</v>
      </c>
      <c r="H58" s="577"/>
      <c r="I58" s="588"/>
      <c r="J58" s="513"/>
      <c r="K58" s="513"/>
      <c r="L58" s="588"/>
      <c r="M58" s="649">
        <f t="shared" si="20"/>
        <v>-0.2</v>
      </c>
      <c r="N58" s="581"/>
      <c r="O58" s="653"/>
      <c r="P58" s="658" t="s">
        <v>91</v>
      </c>
      <c r="Q58" s="631"/>
    </row>
    <row r="59" s="504" customFormat="1" customHeight="1" spans="1:17">
      <c r="A59" s="574" t="s">
        <v>95</v>
      </c>
      <c r="B59" s="581">
        <v>3500</v>
      </c>
      <c r="C59" s="581">
        <f t="shared" si="24"/>
        <v>3500</v>
      </c>
      <c r="D59" s="581"/>
      <c r="E59" s="588"/>
      <c r="F59" s="577"/>
      <c r="G59" s="581">
        <v>3500</v>
      </c>
      <c r="H59" s="577"/>
      <c r="I59" s="588"/>
      <c r="J59" s="513"/>
      <c r="K59" s="513"/>
      <c r="L59" s="588"/>
      <c r="M59" s="649">
        <f t="shared" si="20"/>
        <v>0</v>
      </c>
      <c r="N59" s="581"/>
      <c r="O59" s="653"/>
      <c r="Q59" s="631"/>
    </row>
    <row r="60" s="504" customFormat="1" customHeight="1" spans="1:17">
      <c r="A60" s="580" t="s">
        <v>96</v>
      </c>
      <c r="B60" s="581">
        <v>200</v>
      </c>
      <c r="C60" s="581">
        <f t="shared" si="24"/>
        <v>200</v>
      </c>
      <c r="D60" s="581"/>
      <c r="E60" s="588"/>
      <c r="F60" s="577"/>
      <c r="G60" s="581">
        <v>200</v>
      </c>
      <c r="H60" s="577"/>
      <c r="I60" s="588"/>
      <c r="J60" s="513"/>
      <c r="K60" s="513"/>
      <c r="L60" s="588"/>
      <c r="M60" s="649">
        <f t="shared" si="20"/>
        <v>0</v>
      </c>
      <c r="N60" s="581"/>
      <c r="O60" s="653" t="s">
        <v>97</v>
      </c>
      <c r="Q60" s="631"/>
    </row>
    <row r="61" s="504" customFormat="1" customHeight="1" spans="1:17">
      <c r="A61" s="580" t="s">
        <v>98</v>
      </c>
      <c r="B61" s="581">
        <v>200</v>
      </c>
      <c r="C61" s="581">
        <f t="shared" si="24"/>
        <v>200</v>
      </c>
      <c r="D61" s="581"/>
      <c r="E61" s="590"/>
      <c r="F61" s="577"/>
      <c r="G61" s="581">
        <f>200-200</f>
        <v>0</v>
      </c>
      <c r="H61" s="577"/>
      <c r="I61" s="590"/>
      <c r="J61" s="513"/>
      <c r="K61" s="513"/>
      <c r="L61" s="588"/>
      <c r="M61" s="649">
        <f t="shared" si="20"/>
        <v>-1</v>
      </c>
      <c r="N61" s="581"/>
      <c r="O61" s="653"/>
      <c r="P61" s="504" t="s">
        <v>86</v>
      </c>
      <c r="Q61" s="631" t="s">
        <v>99</v>
      </c>
    </row>
    <row r="62" s="504" customFormat="1" ht="30" hidden="1" customHeight="1" spans="1:17">
      <c r="A62" s="592" t="s">
        <v>100</v>
      </c>
      <c r="B62" s="572"/>
      <c r="C62" s="581">
        <f t="shared" si="24"/>
        <v>0</v>
      </c>
      <c r="D62" s="572"/>
      <c r="E62" s="588"/>
      <c r="F62" s="577"/>
      <c r="G62" s="572">
        <f>SUM(G63:G70)</f>
        <v>200</v>
      </c>
      <c r="H62" s="577"/>
      <c r="I62" s="661"/>
      <c r="J62" s="513"/>
      <c r="K62" s="513"/>
      <c r="L62" s="641"/>
      <c r="M62" s="649">
        <f t="shared" si="20"/>
        <v>0</v>
      </c>
      <c r="N62" s="572"/>
      <c r="O62" s="659"/>
      <c r="Q62" s="631"/>
    </row>
    <row r="63" s="504" customFormat="1" hidden="1" customHeight="1" spans="1:17">
      <c r="A63" s="593" t="s">
        <v>101</v>
      </c>
      <c r="B63" s="581"/>
      <c r="C63" s="581">
        <f t="shared" si="24"/>
        <v>0</v>
      </c>
      <c r="D63" s="581"/>
      <c r="E63" s="588"/>
      <c r="F63" s="577"/>
      <c r="G63" s="581">
        <f>SUM(H63:K63)</f>
        <v>0</v>
      </c>
      <c r="H63" s="577"/>
      <c r="I63" s="661"/>
      <c r="J63" s="513"/>
      <c r="K63" s="513"/>
      <c r="L63" s="588"/>
      <c r="M63" s="649">
        <f t="shared" si="20"/>
        <v>0</v>
      </c>
      <c r="N63" s="581"/>
      <c r="O63" s="653"/>
      <c r="Q63" s="631"/>
    </row>
    <row r="64" s="504" customFormat="1" ht="30" customHeight="1" spans="1:17">
      <c r="A64" s="580" t="s">
        <v>102</v>
      </c>
      <c r="B64" s="581">
        <v>10000</v>
      </c>
      <c r="C64" s="581">
        <v>0</v>
      </c>
      <c r="D64" s="581">
        <v>0</v>
      </c>
      <c r="E64" s="588"/>
      <c r="F64" s="577"/>
      <c r="G64" s="589">
        <f>10000-10000</f>
        <v>0</v>
      </c>
      <c r="H64" s="577"/>
      <c r="I64" s="661"/>
      <c r="J64" s="513"/>
      <c r="K64" s="513"/>
      <c r="L64" s="588"/>
      <c r="M64" s="649">
        <f t="shared" si="20"/>
        <v>-1</v>
      </c>
      <c r="N64" s="581"/>
      <c r="O64" s="660" t="s">
        <v>103</v>
      </c>
      <c r="P64" s="662" t="s">
        <v>91</v>
      </c>
      <c r="Q64" s="631"/>
    </row>
    <row r="65" s="504" customFormat="1" hidden="1" customHeight="1" spans="1:17">
      <c r="A65" s="580" t="s">
        <v>104</v>
      </c>
      <c r="B65" s="575"/>
      <c r="C65" s="581">
        <f t="shared" si="24"/>
        <v>0</v>
      </c>
      <c r="D65" s="581"/>
      <c r="E65" s="588"/>
      <c r="F65" s="577"/>
      <c r="G65" s="581">
        <f>SUM(H65:K65)</f>
        <v>0</v>
      </c>
      <c r="H65" s="577"/>
      <c r="I65" s="661"/>
      <c r="J65" s="513"/>
      <c r="K65" s="513"/>
      <c r="L65" s="588"/>
      <c r="M65" s="649">
        <f t="shared" si="20"/>
        <v>0</v>
      </c>
      <c r="N65" s="581"/>
      <c r="O65" s="655"/>
      <c r="Q65" s="631"/>
    </row>
    <row r="66" s="504" customFormat="1" hidden="1" customHeight="1" spans="1:17">
      <c r="A66" s="574" t="s">
        <v>105</v>
      </c>
      <c r="B66" s="575"/>
      <c r="C66" s="581">
        <f t="shared" si="24"/>
        <v>0</v>
      </c>
      <c r="D66" s="581"/>
      <c r="E66" s="588"/>
      <c r="F66" s="577"/>
      <c r="G66" s="581">
        <f>SUM(H66:K66)</f>
        <v>0</v>
      </c>
      <c r="H66" s="577"/>
      <c r="I66" s="661"/>
      <c r="J66" s="513"/>
      <c r="K66" s="513"/>
      <c r="L66" s="588"/>
      <c r="M66" s="649">
        <f t="shared" si="20"/>
        <v>0</v>
      </c>
      <c r="N66" s="581"/>
      <c r="O66" s="655"/>
      <c r="Q66" s="631"/>
    </row>
    <row r="67" s="504" customFormat="1" hidden="1" customHeight="1" spans="1:17">
      <c r="A67" s="580" t="s">
        <v>106</v>
      </c>
      <c r="B67" s="672"/>
      <c r="C67" s="581">
        <f t="shared" si="24"/>
        <v>0</v>
      </c>
      <c r="D67" s="581"/>
      <c r="E67" s="588"/>
      <c r="F67" s="577"/>
      <c r="G67" s="581">
        <f>SUM(H67:K67)</f>
        <v>0</v>
      </c>
      <c r="H67" s="577"/>
      <c r="I67" s="661"/>
      <c r="J67" s="513"/>
      <c r="K67" s="513"/>
      <c r="L67" s="588"/>
      <c r="M67" s="649">
        <f t="shared" si="20"/>
        <v>0</v>
      </c>
      <c r="N67" s="581"/>
      <c r="O67" s="653"/>
      <c r="Q67" s="631"/>
    </row>
    <row r="68" s="504" customFormat="1" hidden="1" customHeight="1" spans="1:17">
      <c r="A68" s="580" t="s">
        <v>107</v>
      </c>
      <c r="B68" s="575"/>
      <c r="C68" s="581">
        <f t="shared" si="24"/>
        <v>0</v>
      </c>
      <c r="D68" s="581"/>
      <c r="E68" s="588"/>
      <c r="F68" s="577"/>
      <c r="G68" s="581">
        <f>SUM(H68:K68)</f>
        <v>0</v>
      </c>
      <c r="H68" s="577"/>
      <c r="I68" s="661"/>
      <c r="J68" s="513"/>
      <c r="K68" s="513"/>
      <c r="L68" s="588"/>
      <c r="M68" s="649">
        <f t="shared" si="20"/>
        <v>0</v>
      </c>
      <c r="N68" s="581"/>
      <c r="O68" s="653"/>
      <c r="Q68" s="631"/>
    </row>
    <row r="69" s="504" customFormat="1" customHeight="1" spans="1:17">
      <c r="A69" s="580" t="s">
        <v>108</v>
      </c>
      <c r="B69" s="581">
        <v>200</v>
      </c>
      <c r="C69" s="581">
        <f t="shared" si="24"/>
        <v>200</v>
      </c>
      <c r="D69" s="581"/>
      <c r="E69" s="588"/>
      <c r="F69" s="577"/>
      <c r="G69" s="581">
        <v>200</v>
      </c>
      <c r="H69" s="577"/>
      <c r="I69" s="661"/>
      <c r="J69" s="513"/>
      <c r="K69" s="513"/>
      <c r="L69" s="588"/>
      <c r="M69" s="649">
        <f t="shared" si="20"/>
        <v>0</v>
      </c>
      <c r="N69" s="581"/>
      <c r="O69" s="653"/>
      <c r="Q69" s="631"/>
    </row>
    <row r="70" s="504" customFormat="1" customHeight="1" spans="1:17">
      <c r="A70" s="580" t="s">
        <v>109</v>
      </c>
      <c r="B70" s="581">
        <v>100</v>
      </c>
      <c r="C70" s="581">
        <f t="shared" si="24"/>
        <v>100</v>
      </c>
      <c r="D70" s="581"/>
      <c r="E70" s="590"/>
      <c r="F70" s="577"/>
      <c r="G70" s="581">
        <v>0</v>
      </c>
      <c r="H70" s="577"/>
      <c r="I70" s="590"/>
      <c r="J70" s="513"/>
      <c r="K70" s="513"/>
      <c r="L70" s="588"/>
      <c r="M70" s="649">
        <f t="shared" si="20"/>
        <v>-1</v>
      </c>
      <c r="N70" s="581"/>
      <c r="O70" s="653" t="s">
        <v>110</v>
      </c>
      <c r="Q70" s="631"/>
    </row>
    <row r="71" s="504" customFormat="1" ht="30" hidden="1" customHeight="1" spans="1:17">
      <c r="A71" s="673" t="s">
        <v>111</v>
      </c>
      <c r="B71" s="572"/>
      <c r="C71" s="581">
        <f t="shared" si="24"/>
        <v>0</v>
      </c>
      <c r="D71" s="572"/>
      <c r="E71" s="588"/>
      <c r="F71" s="577"/>
      <c r="G71" s="572">
        <f>G72+G73+G74</f>
        <v>0</v>
      </c>
      <c r="H71" s="577"/>
      <c r="I71" s="588"/>
      <c r="J71" s="513"/>
      <c r="K71" s="513"/>
      <c r="L71" s="641"/>
      <c r="M71" s="649">
        <f t="shared" si="20"/>
        <v>0</v>
      </c>
      <c r="N71" s="572"/>
      <c r="O71" s="648"/>
      <c r="Q71" s="631"/>
    </row>
    <row r="72" s="504" customFormat="1" hidden="1" customHeight="1" spans="1:17">
      <c r="A72" s="586" t="s">
        <v>112</v>
      </c>
      <c r="B72" s="581"/>
      <c r="C72" s="581">
        <f t="shared" si="24"/>
        <v>0</v>
      </c>
      <c r="D72" s="581"/>
      <c r="E72" s="588"/>
      <c r="F72" s="577"/>
      <c r="G72" s="581">
        <f>SUM(H72:K72)</f>
        <v>0</v>
      </c>
      <c r="H72" s="577"/>
      <c r="I72" s="588"/>
      <c r="J72" s="513"/>
      <c r="K72" s="513"/>
      <c r="L72" s="588"/>
      <c r="M72" s="649">
        <f t="shared" si="20"/>
        <v>0</v>
      </c>
      <c r="N72" s="581"/>
      <c r="O72" s="682"/>
      <c r="Q72" s="631"/>
    </row>
    <row r="73" s="504" customFormat="1" hidden="1" customHeight="1" spans="1:17">
      <c r="A73" s="574" t="s">
        <v>113</v>
      </c>
      <c r="B73" s="581"/>
      <c r="C73" s="581">
        <f t="shared" si="24"/>
        <v>0</v>
      </c>
      <c r="D73" s="581"/>
      <c r="E73" s="588"/>
      <c r="F73" s="577"/>
      <c r="G73" s="581">
        <f>SUM(H73:K73)</f>
        <v>0</v>
      </c>
      <c r="H73" s="577"/>
      <c r="I73" s="577"/>
      <c r="J73" s="513"/>
      <c r="K73" s="513"/>
      <c r="L73" s="588"/>
      <c r="M73" s="649">
        <f t="shared" si="20"/>
        <v>0</v>
      </c>
      <c r="N73" s="581"/>
      <c r="O73" s="682"/>
      <c r="Q73" s="631"/>
    </row>
    <row r="74" s="504" customFormat="1" hidden="1" customHeight="1" spans="1:17">
      <c r="A74" s="574" t="s">
        <v>114</v>
      </c>
      <c r="B74" s="581"/>
      <c r="C74" s="581">
        <f t="shared" si="24"/>
        <v>0</v>
      </c>
      <c r="D74" s="581"/>
      <c r="E74" s="584"/>
      <c r="F74" s="577"/>
      <c r="G74" s="581">
        <f>SUM(H74:K74)</f>
        <v>0</v>
      </c>
      <c r="H74" s="577"/>
      <c r="I74" s="584"/>
      <c r="J74" s="513"/>
      <c r="K74" s="513"/>
      <c r="L74" s="588"/>
      <c r="M74" s="649">
        <f t="shared" si="20"/>
        <v>0</v>
      </c>
      <c r="N74" s="581"/>
      <c r="O74" s="682"/>
      <c r="Q74" s="631"/>
    </row>
    <row r="75" s="504" customFormat="1" ht="30" customHeight="1" spans="1:17">
      <c r="A75" s="580" t="s">
        <v>115</v>
      </c>
      <c r="B75" s="581">
        <v>19000</v>
      </c>
      <c r="C75" s="581">
        <f t="shared" si="24"/>
        <v>19000</v>
      </c>
      <c r="D75" s="581"/>
      <c r="E75" s="584"/>
      <c r="F75" s="577"/>
      <c r="G75" s="581">
        <f>15000-8000</f>
        <v>7000</v>
      </c>
      <c r="H75" s="577"/>
      <c r="I75" s="584"/>
      <c r="J75" s="513"/>
      <c r="K75" s="513"/>
      <c r="L75" s="588"/>
      <c r="M75" s="649">
        <f t="shared" si="20"/>
        <v>-0.631578947368421</v>
      </c>
      <c r="N75" s="588"/>
      <c r="O75" s="683" t="s">
        <v>116</v>
      </c>
      <c r="P75" s="662" t="s">
        <v>91</v>
      </c>
      <c r="Q75" s="631"/>
    </row>
    <row r="76" s="504" customFormat="1" hidden="1" customHeight="1" spans="1:17">
      <c r="A76" s="580" t="s">
        <v>117</v>
      </c>
      <c r="B76" s="581"/>
      <c r="C76" s="581">
        <f t="shared" si="24"/>
        <v>0</v>
      </c>
      <c r="D76" s="581"/>
      <c r="E76" s="584"/>
      <c r="F76" s="577"/>
      <c r="G76" s="589">
        <v>0</v>
      </c>
      <c r="H76" s="577"/>
      <c r="I76" s="584"/>
      <c r="J76" s="513"/>
      <c r="K76" s="513"/>
      <c r="L76" s="588"/>
      <c r="M76" s="649">
        <f t="shared" si="20"/>
        <v>0</v>
      </c>
      <c r="N76" s="581"/>
      <c r="O76" s="660" t="s">
        <v>118</v>
      </c>
      <c r="Q76" s="631"/>
    </row>
    <row r="77" s="504" customFormat="1" hidden="1" customHeight="1" spans="1:17">
      <c r="A77" s="580" t="s">
        <v>119</v>
      </c>
      <c r="B77" s="581"/>
      <c r="C77" s="581"/>
      <c r="D77" s="581"/>
      <c r="E77" s="584"/>
      <c r="F77" s="577"/>
      <c r="G77" s="589"/>
      <c r="H77" s="577"/>
      <c r="I77" s="584"/>
      <c r="J77" s="513"/>
      <c r="K77" s="513"/>
      <c r="L77" s="588"/>
      <c r="M77" s="649"/>
      <c r="N77" s="581"/>
      <c r="O77" s="660"/>
      <c r="Q77" s="631"/>
    </row>
    <row r="78" s="504" customFormat="1" ht="30" customHeight="1" spans="1:17">
      <c r="A78" s="585" t="s">
        <v>120</v>
      </c>
      <c r="B78" s="568">
        <v>25000</v>
      </c>
      <c r="C78" s="568">
        <v>25000</v>
      </c>
      <c r="D78" s="568"/>
      <c r="E78" s="588"/>
      <c r="F78" s="577"/>
      <c r="G78" s="568">
        <f>G79</f>
        <v>35000</v>
      </c>
      <c r="H78" s="577"/>
      <c r="I78" s="588"/>
      <c r="J78" s="513"/>
      <c r="K78" s="513"/>
      <c r="L78" s="656"/>
      <c r="M78" s="647">
        <f>IFERROR((G78-B78)/B78,0)</f>
        <v>0.4</v>
      </c>
      <c r="N78" s="568"/>
      <c r="O78" s="648" t="s">
        <v>121</v>
      </c>
      <c r="P78" s="662" t="s">
        <v>122</v>
      </c>
      <c r="Q78" s="631"/>
    </row>
    <row r="79" s="504" customFormat="1" hidden="1" customHeight="1" spans="1:17">
      <c r="A79" s="586" t="s">
        <v>123</v>
      </c>
      <c r="B79" s="674"/>
      <c r="C79" s="674"/>
      <c r="D79" s="675"/>
      <c r="E79" s="590"/>
      <c r="F79" s="577"/>
      <c r="G79" s="676">
        <v>35000</v>
      </c>
      <c r="H79" s="577"/>
      <c r="I79" s="684"/>
      <c r="J79" s="513"/>
      <c r="K79" s="513"/>
      <c r="L79" s="685"/>
      <c r="M79" s="647">
        <f>IFERROR((G79-B79)/B79,0)</f>
        <v>0</v>
      </c>
      <c r="N79" s="686"/>
      <c r="O79" s="653"/>
      <c r="P79" s="687"/>
      <c r="Q79" s="631"/>
    </row>
    <row r="80" s="504" customFormat="1" ht="30" customHeight="1" spans="1:17">
      <c r="A80" s="585" t="s">
        <v>124</v>
      </c>
      <c r="B80" s="677"/>
      <c r="C80" s="677"/>
      <c r="D80" s="677"/>
      <c r="E80" s="590"/>
      <c r="F80" s="577"/>
      <c r="G80" s="677">
        <f>3000-3000</f>
        <v>0</v>
      </c>
      <c r="H80" s="577"/>
      <c r="I80" s="590"/>
      <c r="J80" s="513"/>
      <c r="K80" s="513"/>
      <c r="L80" s="688"/>
      <c r="M80" s="647">
        <f>IFERROR((G80-B80)/B80,0)</f>
        <v>0</v>
      </c>
      <c r="N80" s="572"/>
      <c r="O80" s="689" t="s">
        <v>125</v>
      </c>
      <c r="P80" s="687"/>
      <c r="Q80" s="631"/>
    </row>
    <row r="81" s="504" customFormat="1" ht="30" customHeight="1" spans="1:17">
      <c r="A81" s="567" t="s">
        <v>126</v>
      </c>
      <c r="B81" s="678">
        <v>640000</v>
      </c>
      <c r="C81" s="678">
        <v>620000</v>
      </c>
      <c r="D81" s="678">
        <v>0</v>
      </c>
      <c r="E81" s="678">
        <v>0</v>
      </c>
      <c r="F81" s="678">
        <v>0</v>
      </c>
      <c r="G81" s="678">
        <f>G37+G50+G53</f>
        <v>615359.04</v>
      </c>
      <c r="H81" s="577"/>
      <c r="I81" s="590"/>
      <c r="J81" s="513"/>
      <c r="K81" s="513"/>
      <c r="L81" s="690"/>
      <c r="M81" s="647">
        <f>IFERROR((G81-B81)/B81,0)</f>
        <v>-0.0385014999999999</v>
      </c>
      <c r="N81" s="691"/>
      <c r="O81" s="689"/>
      <c r="P81" s="687"/>
      <c r="Q81" s="631"/>
    </row>
    <row r="82" s="504" customFormat="1" ht="30" customHeight="1" spans="1:17">
      <c r="A82" s="679" t="s">
        <v>127</v>
      </c>
      <c r="B82" s="568">
        <v>665000</v>
      </c>
      <c r="C82" s="568">
        <v>645000</v>
      </c>
      <c r="D82" s="568">
        <v>0</v>
      </c>
      <c r="E82" s="568">
        <v>0</v>
      </c>
      <c r="F82" s="568">
        <v>0</v>
      </c>
      <c r="G82" s="568">
        <f>G81+G78</f>
        <v>650359.04</v>
      </c>
      <c r="H82" s="577"/>
      <c r="I82" s="577"/>
      <c r="J82" s="513"/>
      <c r="K82" s="513"/>
      <c r="L82" s="656"/>
      <c r="M82" s="647">
        <f>IFERROR((G82-B82)/B82,0)</f>
        <v>-0.0220164812030075</v>
      </c>
      <c r="N82" s="691"/>
      <c r="O82" s="692"/>
      <c r="P82" s="687"/>
      <c r="Q82" s="631"/>
    </row>
    <row r="83" s="504" customFormat="1" ht="30" hidden="1" customHeight="1" spans="1:17">
      <c r="A83" s="567" t="s">
        <v>126</v>
      </c>
      <c r="B83" s="678">
        <f t="shared" ref="B83:F83" si="26">B37+B50+B53</f>
        <v>640000</v>
      </c>
      <c r="C83" s="678">
        <f t="shared" si="26"/>
        <v>620000</v>
      </c>
      <c r="D83" s="678">
        <f t="shared" si="26"/>
        <v>0</v>
      </c>
      <c r="E83" s="678">
        <f t="shared" si="26"/>
        <v>0</v>
      </c>
      <c r="F83" s="678">
        <f t="shared" si="26"/>
        <v>0</v>
      </c>
      <c r="G83" s="678">
        <f>G50+G53</f>
        <v>210400</v>
      </c>
      <c r="H83" s="577"/>
      <c r="I83" s="590"/>
      <c r="J83" s="513"/>
      <c r="K83" s="513"/>
      <c r="L83" s="690"/>
      <c r="M83" s="647">
        <f t="shared" ref="M83:M84" si="27">IFERROR((G83-B83)/B83,0)</f>
        <v>-0.67125</v>
      </c>
      <c r="N83" s="678"/>
      <c r="O83" s="689"/>
      <c r="Q83" s="631"/>
    </row>
    <row r="84" s="504" customFormat="1" ht="30" hidden="1" customHeight="1" spans="1:15">
      <c r="A84" s="679" t="s">
        <v>127</v>
      </c>
      <c r="B84" s="568">
        <f t="shared" ref="B84:G84" si="28">B78+B80+B83</f>
        <v>665000</v>
      </c>
      <c r="C84" s="568">
        <f t="shared" si="28"/>
        <v>645000</v>
      </c>
      <c r="D84" s="568">
        <f t="shared" si="28"/>
        <v>0</v>
      </c>
      <c r="E84" s="568">
        <f t="shared" si="28"/>
        <v>0</v>
      </c>
      <c r="F84" s="568">
        <f t="shared" si="28"/>
        <v>0</v>
      </c>
      <c r="G84" s="568">
        <f t="shared" si="28"/>
        <v>245400</v>
      </c>
      <c r="H84" s="577"/>
      <c r="I84" s="577"/>
      <c r="J84" s="513"/>
      <c r="K84" s="513"/>
      <c r="L84" s="656"/>
      <c r="M84" s="647">
        <f t="shared" si="27"/>
        <v>-0.630977443609023</v>
      </c>
      <c r="N84" s="568"/>
      <c r="O84" s="692"/>
    </row>
    <row r="85" s="504" customFormat="1" customHeight="1" spans="1:15">
      <c r="A85" s="680"/>
      <c r="B85" s="681"/>
      <c r="C85" s="681"/>
      <c r="D85" s="577"/>
      <c r="E85" s="577"/>
      <c r="F85" s="577"/>
      <c r="G85" s="577"/>
      <c r="H85" s="577"/>
      <c r="I85" s="693"/>
      <c r="J85" s="513"/>
      <c r="K85" s="513"/>
      <c r="L85" s="513"/>
      <c r="M85" s="513"/>
      <c r="N85" s="513"/>
      <c r="O85" s="513"/>
    </row>
    <row r="86" s="504" customFormat="1" customHeight="1" spans="1:15">
      <c r="A86" s="680"/>
      <c r="B86" s="681"/>
      <c r="C86" s="681"/>
      <c r="D86" s="577"/>
      <c r="E86" s="577"/>
      <c r="F86" s="577"/>
      <c r="G86" s="577"/>
      <c r="H86" s="577"/>
      <c r="I86" s="577"/>
      <c r="J86" s="513"/>
      <c r="K86" s="513"/>
      <c r="L86" s="513"/>
      <c r="M86" s="513"/>
      <c r="N86" s="513"/>
      <c r="O86" s="513"/>
    </row>
    <row r="87" s="504" customFormat="1" customHeight="1" spans="1:15">
      <c r="A87" s="680"/>
      <c r="B87" s="681"/>
      <c r="C87" s="681"/>
      <c r="D87" s="577"/>
      <c r="E87" s="577"/>
      <c r="F87" s="577"/>
      <c r="G87" s="577"/>
      <c r="H87" s="577"/>
      <c r="I87" s="577"/>
      <c r="J87" s="513"/>
      <c r="K87" s="513"/>
      <c r="L87" s="513"/>
      <c r="M87" s="513"/>
      <c r="N87" s="513"/>
      <c r="O87" s="513"/>
    </row>
    <row r="88" s="504" customFormat="1" ht="50.25" customHeight="1" spans="1:15">
      <c r="A88" s="680"/>
      <c r="B88" s="681"/>
      <c r="C88" s="681"/>
      <c r="D88" s="577"/>
      <c r="E88" s="577"/>
      <c r="F88" s="577"/>
      <c r="G88" s="577"/>
      <c r="H88" s="577"/>
      <c r="I88" s="577"/>
      <c r="J88" s="513"/>
      <c r="K88" s="513"/>
      <c r="L88" s="513"/>
      <c r="M88" s="513"/>
      <c r="N88" s="513"/>
      <c r="O88" s="694"/>
    </row>
    <row r="89" s="504" customFormat="1" customHeight="1" spans="1:15">
      <c r="A89" s="680"/>
      <c r="B89" s="681"/>
      <c r="C89" s="681"/>
      <c r="D89" s="577"/>
      <c r="E89" s="577"/>
      <c r="F89" s="577"/>
      <c r="G89" s="577"/>
      <c r="H89" s="577"/>
      <c r="I89" s="577"/>
      <c r="J89" s="513"/>
      <c r="K89" s="513"/>
      <c r="L89" s="513"/>
      <c r="M89" s="513"/>
      <c r="N89" s="513"/>
      <c r="O89" s="513"/>
    </row>
    <row r="90" s="504" customFormat="1" customHeight="1" spans="1:15">
      <c r="A90" s="680"/>
      <c r="B90" s="681"/>
      <c r="C90" s="681"/>
      <c r="D90" s="577"/>
      <c r="E90" s="577"/>
      <c r="F90" s="577"/>
      <c r="G90" s="577"/>
      <c r="H90" s="577"/>
      <c r="I90" s="577"/>
      <c r="J90" s="513"/>
      <c r="K90" s="513"/>
      <c r="L90" s="513"/>
      <c r="M90" s="513"/>
      <c r="N90" s="513"/>
      <c r="O90" s="513"/>
    </row>
    <row r="91" s="504" customFormat="1" customHeight="1" spans="1:15">
      <c r="A91" s="680"/>
      <c r="B91" s="681"/>
      <c r="C91" s="681"/>
      <c r="D91" s="577"/>
      <c r="E91" s="577"/>
      <c r="F91" s="577"/>
      <c r="G91" s="577"/>
      <c r="H91" s="577"/>
      <c r="I91" s="577"/>
      <c r="J91" s="513"/>
      <c r="K91" s="513"/>
      <c r="L91" s="513"/>
      <c r="M91" s="513"/>
      <c r="N91" s="513"/>
      <c r="O91" s="513"/>
    </row>
    <row r="92" s="504" customFormat="1" customHeight="1" spans="1:15">
      <c r="A92" s="680"/>
      <c r="B92" s="681"/>
      <c r="C92" s="681"/>
      <c r="D92" s="577"/>
      <c r="E92" s="577"/>
      <c r="F92" s="577"/>
      <c r="G92" s="577"/>
      <c r="H92" s="577"/>
      <c r="I92" s="577"/>
      <c r="J92" s="513"/>
      <c r="K92" s="513"/>
      <c r="L92" s="513"/>
      <c r="M92" s="513"/>
      <c r="N92" s="513"/>
      <c r="O92" s="513"/>
    </row>
    <row r="93" s="504" customFormat="1" customHeight="1" spans="1:15">
      <c r="A93" s="680"/>
      <c r="B93" s="681"/>
      <c r="C93" s="681"/>
      <c r="D93" s="577"/>
      <c r="E93" s="577"/>
      <c r="F93" s="577"/>
      <c r="G93" s="577"/>
      <c r="H93" s="577"/>
      <c r="I93" s="577"/>
      <c r="J93" s="513"/>
      <c r="K93" s="513"/>
      <c r="L93" s="513"/>
      <c r="M93" s="513"/>
      <c r="N93" s="513"/>
      <c r="O93" s="513"/>
    </row>
    <row r="94" s="504" customFormat="1" customHeight="1" spans="1:15">
      <c r="A94" s="680"/>
      <c r="B94" s="681"/>
      <c r="C94" s="681"/>
      <c r="D94" s="577"/>
      <c r="E94" s="577"/>
      <c r="F94" s="577"/>
      <c r="G94" s="577"/>
      <c r="H94" s="577"/>
      <c r="I94" s="577"/>
      <c r="J94" s="513"/>
      <c r="K94" s="513"/>
      <c r="L94" s="513"/>
      <c r="M94" s="513"/>
      <c r="N94" s="513"/>
      <c r="O94" s="513"/>
    </row>
    <row r="95" s="504" customFormat="1" customHeight="1" spans="1:15">
      <c r="A95" s="680"/>
      <c r="B95" s="681"/>
      <c r="C95" s="681"/>
      <c r="D95" s="577"/>
      <c r="E95" s="577"/>
      <c r="F95" s="577"/>
      <c r="G95" s="577"/>
      <c r="H95" s="577"/>
      <c r="I95" s="577"/>
      <c r="J95" s="513"/>
      <c r="K95" s="513"/>
      <c r="L95" s="513"/>
      <c r="M95" s="513"/>
      <c r="N95" s="513"/>
      <c r="O95" s="513"/>
    </row>
    <row r="96" s="504" customFormat="1" customHeight="1" spans="1:15">
      <c r="A96" s="680"/>
      <c r="B96" s="681"/>
      <c r="C96" s="681"/>
      <c r="D96" s="577"/>
      <c r="E96" s="577"/>
      <c r="F96" s="577"/>
      <c r="G96" s="577"/>
      <c r="H96" s="577"/>
      <c r="I96" s="577"/>
      <c r="J96" s="513"/>
      <c r="K96" s="513"/>
      <c r="L96" s="513"/>
      <c r="M96" s="513"/>
      <c r="N96" s="513"/>
      <c r="O96" s="513"/>
    </row>
    <row r="97" s="504" customFormat="1" customHeight="1" spans="1:15">
      <c r="A97" s="680"/>
      <c r="B97" s="681"/>
      <c r="C97" s="681"/>
      <c r="D97" s="577"/>
      <c r="E97" s="577"/>
      <c r="F97" s="577"/>
      <c r="G97" s="577"/>
      <c r="H97" s="577"/>
      <c r="I97" s="577"/>
      <c r="J97" s="513"/>
      <c r="K97" s="513"/>
      <c r="L97" s="513"/>
      <c r="M97" s="513"/>
      <c r="N97" s="513"/>
      <c r="O97" s="513"/>
    </row>
    <row r="98" s="504" customFormat="1" customHeight="1" spans="1:15">
      <c r="A98" s="680"/>
      <c r="B98" s="681"/>
      <c r="C98" s="681"/>
      <c r="D98" s="577"/>
      <c r="E98" s="577"/>
      <c r="F98" s="577"/>
      <c r="G98" s="577"/>
      <c r="H98" s="577"/>
      <c r="I98" s="577"/>
      <c r="J98" s="513"/>
      <c r="K98" s="513"/>
      <c r="L98" s="513"/>
      <c r="M98" s="513"/>
      <c r="N98" s="513"/>
      <c r="O98" s="513"/>
    </row>
    <row r="99" s="504" customFormat="1" customHeight="1" spans="1:15">
      <c r="A99" s="680"/>
      <c r="B99" s="681"/>
      <c r="C99" s="681"/>
      <c r="D99" s="577"/>
      <c r="E99" s="577"/>
      <c r="F99" s="577"/>
      <c r="G99" s="577"/>
      <c r="H99" s="577"/>
      <c r="I99" s="577"/>
      <c r="J99" s="513"/>
      <c r="K99" s="513"/>
      <c r="L99" s="513"/>
      <c r="M99" s="513"/>
      <c r="N99" s="513"/>
      <c r="O99" s="513"/>
    </row>
    <row r="100" s="504" customFormat="1" customHeight="1" spans="1:15">
      <c r="A100" s="680"/>
      <c r="B100" s="681"/>
      <c r="C100" s="681"/>
      <c r="D100" s="577"/>
      <c r="E100" s="577"/>
      <c r="F100" s="577"/>
      <c r="G100" s="577"/>
      <c r="H100" s="577"/>
      <c r="I100" s="577"/>
      <c r="J100" s="513"/>
      <c r="K100" s="513"/>
      <c r="L100" s="513"/>
      <c r="M100" s="513"/>
      <c r="N100" s="513"/>
      <c r="O100" s="513"/>
    </row>
    <row r="101" s="504" customFormat="1" customHeight="1" spans="1:15">
      <c r="A101" s="680"/>
      <c r="B101" s="681"/>
      <c r="C101" s="681"/>
      <c r="D101" s="577"/>
      <c r="E101" s="577"/>
      <c r="F101" s="577"/>
      <c r="G101" s="577"/>
      <c r="H101" s="577"/>
      <c r="I101" s="577"/>
      <c r="J101" s="513"/>
      <c r="K101" s="513"/>
      <c r="L101" s="513"/>
      <c r="M101" s="513"/>
      <c r="N101" s="513"/>
      <c r="O101" s="513"/>
    </row>
    <row r="102" s="504" customFormat="1" customHeight="1" spans="1:15">
      <c r="A102" s="680"/>
      <c r="B102" s="681"/>
      <c r="C102" s="681"/>
      <c r="D102" s="577"/>
      <c r="E102" s="577"/>
      <c r="F102" s="577"/>
      <c r="G102" s="577"/>
      <c r="H102" s="577"/>
      <c r="I102" s="577"/>
      <c r="J102" s="513"/>
      <c r="K102" s="513"/>
      <c r="L102" s="513"/>
      <c r="M102" s="513"/>
      <c r="N102" s="513"/>
      <c r="O102" s="513"/>
    </row>
    <row r="103" s="504" customFormat="1" customHeight="1" spans="1:15">
      <c r="A103" s="680"/>
      <c r="B103" s="681"/>
      <c r="C103" s="681"/>
      <c r="D103" s="577"/>
      <c r="E103" s="577"/>
      <c r="F103" s="577"/>
      <c r="G103" s="577"/>
      <c r="H103" s="577"/>
      <c r="I103" s="577"/>
      <c r="J103" s="513"/>
      <c r="K103" s="513"/>
      <c r="L103" s="513"/>
      <c r="M103" s="513"/>
      <c r="N103" s="513"/>
      <c r="O103" s="513"/>
    </row>
    <row r="104" s="504" customFormat="1" customHeight="1" spans="1:15">
      <c r="A104" s="680"/>
      <c r="B104" s="681"/>
      <c r="C104" s="681"/>
      <c r="D104" s="577"/>
      <c r="E104" s="577"/>
      <c r="F104" s="577"/>
      <c r="G104" s="577"/>
      <c r="H104" s="577"/>
      <c r="I104" s="577"/>
      <c r="J104" s="513"/>
      <c r="K104" s="513"/>
      <c r="L104" s="513"/>
      <c r="M104" s="513"/>
      <c r="N104" s="513"/>
      <c r="O104" s="513"/>
    </row>
    <row r="105" s="504" customFormat="1" customHeight="1" spans="1:15">
      <c r="A105" s="680"/>
      <c r="B105" s="681"/>
      <c r="C105" s="681"/>
      <c r="D105" s="577"/>
      <c r="E105" s="577"/>
      <c r="F105" s="577"/>
      <c r="G105" s="577"/>
      <c r="H105" s="577"/>
      <c r="I105" s="577"/>
      <c r="J105" s="513"/>
      <c r="K105" s="513"/>
      <c r="L105" s="513"/>
      <c r="M105" s="513"/>
      <c r="N105" s="513"/>
      <c r="O105" s="513"/>
    </row>
    <row r="106" s="504" customFormat="1" customHeight="1" spans="1:15">
      <c r="A106" s="680"/>
      <c r="B106" s="681"/>
      <c r="C106" s="681"/>
      <c r="D106" s="577"/>
      <c r="E106" s="577"/>
      <c r="F106" s="577"/>
      <c r="G106" s="577"/>
      <c r="H106" s="577"/>
      <c r="I106" s="577"/>
      <c r="J106" s="513"/>
      <c r="K106" s="513"/>
      <c r="L106" s="513"/>
      <c r="M106" s="513"/>
      <c r="N106" s="513"/>
      <c r="O106" s="513"/>
    </row>
    <row r="107" s="504" customFormat="1" customHeight="1" spans="1:15">
      <c r="A107" s="680"/>
      <c r="B107" s="681"/>
      <c r="C107" s="681"/>
      <c r="D107" s="577"/>
      <c r="E107" s="577"/>
      <c r="F107" s="577"/>
      <c r="G107" s="577"/>
      <c r="H107" s="577"/>
      <c r="I107" s="577"/>
      <c r="J107" s="513"/>
      <c r="K107" s="513"/>
      <c r="L107" s="513"/>
      <c r="M107" s="513"/>
      <c r="N107" s="513"/>
      <c r="O107" s="513"/>
    </row>
    <row r="108" s="504" customFormat="1" customHeight="1" spans="1:15">
      <c r="A108" s="680"/>
      <c r="B108" s="681"/>
      <c r="C108" s="681"/>
      <c r="D108" s="577"/>
      <c r="E108" s="577"/>
      <c r="F108" s="577"/>
      <c r="G108" s="577"/>
      <c r="H108" s="577"/>
      <c r="I108" s="577"/>
      <c r="J108" s="513"/>
      <c r="K108" s="513"/>
      <c r="L108" s="513"/>
      <c r="M108" s="513"/>
      <c r="N108" s="513"/>
      <c r="O108" s="513"/>
    </row>
    <row r="109" s="504" customFormat="1" customHeight="1" spans="1:15">
      <c r="A109" s="680"/>
      <c r="B109" s="681"/>
      <c r="C109" s="681"/>
      <c r="D109" s="577"/>
      <c r="E109" s="577"/>
      <c r="F109" s="577"/>
      <c r="G109" s="577"/>
      <c r="H109" s="577"/>
      <c r="I109" s="577"/>
      <c r="J109" s="513"/>
      <c r="K109" s="513"/>
      <c r="L109" s="513"/>
      <c r="M109" s="513"/>
      <c r="N109" s="513"/>
      <c r="O109" s="513"/>
    </row>
    <row r="110" s="504" customFormat="1" customHeight="1" spans="1:15">
      <c r="A110" s="680"/>
      <c r="B110" s="681"/>
      <c r="C110" s="681"/>
      <c r="D110" s="577"/>
      <c r="E110" s="577"/>
      <c r="F110" s="577"/>
      <c r="G110" s="577"/>
      <c r="H110" s="577"/>
      <c r="I110" s="577"/>
      <c r="J110" s="513"/>
      <c r="K110" s="513"/>
      <c r="L110" s="513"/>
      <c r="M110" s="513"/>
      <c r="N110" s="513"/>
      <c r="O110" s="513"/>
    </row>
    <row r="111" s="504" customFormat="1" customHeight="1" spans="1:15">
      <c r="A111" s="680"/>
      <c r="B111" s="681"/>
      <c r="C111" s="681"/>
      <c r="D111" s="577"/>
      <c r="E111" s="577"/>
      <c r="F111" s="577"/>
      <c r="G111" s="577"/>
      <c r="H111" s="577"/>
      <c r="I111" s="577"/>
      <c r="J111" s="513"/>
      <c r="K111" s="513"/>
      <c r="L111" s="513"/>
      <c r="M111" s="513"/>
      <c r="N111" s="513"/>
      <c r="O111" s="513"/>
    </row>
    <row r="112" s="504" customFormat="1" customHeight="1" spans="1:15">
      <c r="A112" s="680"/>
      <c r="B112" s="681"/>
      <c r="C112" s="681"/>
      <c r="D112" s="577"/>
      <c r="E112" s="577"/>
      <c r="F112" s="577"/>
      <c r="G112" s="577"/>
      <c r="H112" s="577"/>
      <c r="I112" s="577"/>
      <c r="J112" s="513"/>
      <c r="K112" s="513"/>
      <c r="L112" s="513"/>
      <c r="M112" s="513"/>
      <c r="N112" s="513"/>
      <c r="O112" s="513"/>
    </row>
    <row r="113" s="504" customFormat="1" customHeight="1" spans="1:15">
      <c r="A113" s="680"/>
      <c r="B113" s="681"/>
      <c r="C113" s="681"/>
      <c r="D113" s="577"/>
      <c r="E113" s="577"/>
      <c r="F113" s="577"/>
      <c r="G113" s="577"/>
      <c r="H113" s="577"/>
      <c r="I113" s="577"/>
      <c r="J113" s="513"/>
      <c r="K113" s="513"/>
      <c r="L113" s="513"/>
      <c r="M113" s="513"/>
      <c r="N113" s="513"/>
      <c r="O113" s="513"/>
    </row>
    <row r="114" s="504" customFormat="1" customHeight="1" spans="1:15">
      <c r="A114" s="680"/>
      <c r="B114" s="681"/>
      <c r="C114" s="681"/>
      <c r="D114" s="577"/>
      <c r="E114" s="577"/>
      <c r="F114" s="577"/>
      <c r="G114" s="577"/>
      <c r="H114" s="577"/>
      <c r="I114" s="577"/>
      <c r="J114" s="513"/>
      <c r="K114" s="513"/>
      <c r="L114" s="513"/>
      <c r="M114" s="513"/>
      <c r="N114" s="513"/>
      <c r="O114" s="513"/>
    </row>
    <row r="115" s="504" customFormat="1" customHeight="1" spans="1:15">
      <c r="A115" s="680"/>
      <c r="B115" s="681"/>
      <c r="C115" s="681"/>
      <c r="D115" s="577"/>
      <c r="E115" s="577"/>
      <c r="F115" s="577"/>
      <c r="G115" s="577"/>
      <c r="H115" s="577"/>
      <c r="I115" s="577"/>
      <c r="J115" s="513"/>
      <c r="K115" s="513"/>
      <c r="L115" s="513"/>
      <c r="M115" s="513"/>
      <c r="N115" s="513"/>
      <c r="O115" s="513"/>
    </row>
    <row r="116" s="504" customFormat="1" customHeight="1" spans="1:15">
      <c r="A116" s="680"/>
      <c r="B116" s="681"/>
      <c r="C116" s="681"/>
      <c r="D116" s="577"/>
      <c r="E116" s="577"/>
      <c r="F116" s="577"/>
      <c r="G116" s="577"/>
      <c r="H116" s="577"/>
      <c r="I116" s="577"/>
      <c r="J116" s="513"/>
      <c r="K116" s="513"/>
      <c r="L116" s="513"/>
      <c r="M116" s="513"/>
      <c r="N116" s="513"/>
      <c r="O116" s="513"/>
    </row>
    <row r="117" s="504" customFormat="1" customHeight="1" spans="1:15">
      <c r="A117" s="680"/>
      <c r="B117" s="681"/>
      <c r="C117" s="681"/>
      <c r="D117" s="577"/>
      <c r="E117" s="577"/>
      <c r="F117" s="577"/>
      <c r="G117" s="577"/>
      <c r="H117" s="577"/>
      <c r="I117" s="577"/>
      <c r="J117" s="513"/>
      <c r="K117" s="513"/>
      <c r="L117" s="513"/>
      <c r="M117" s="513"/>
      <c r="N117" s="513"/>
      <c r="O117" s="513"/>
    </row>
    <row r="118" s="504" customFormat="1" customHeight="1" spans="1:15">
      <c r="A118" s="680"/>
      <c r="B118" s="681"/>
      <c r="C118" s="681"/>
      <c r="D118" s="577"/>
      <c r="E118" s="577"/>
      <c r="F118" s="577"/>
      <c r="G118" s="577"/>
      <c r="H118" s="577"/>
      <c r="I118" s="577"/>
      <c r="J118" s="513"/>
      <c r="K118" s="513"/>
      <c r="L118" s="513"/>
      <c r="M118" s="513"/>
      <c r="N118" s="513"/>
      <c r="O118" s="513"/>
    </row>
    <row r="119" customHeight="1" spans="1:10">
      <c r="A119" s="680"/>
      <c r="B119" s="681"/>
      <c r="C119" s="681"/>
      <c r="D119" s="577"/>
      <c r="E119" s="577"/>
      <c r="F119" s="577"/>
      <c r="G119" s="577"/>
      <c r="H119" s="577"/>
      <c r="I119" s="577"/>
      <c r="J119" s="513"/>
    </row>
    <row r="120" customHeight="1" spans="1:10">
      <c r="A120" s="680"/>
      <c r="B120" s="681"/>
      <c r="C120" s="681"/>
      <c r="D120" s="577"/>
      <c r="E120" s="577"/>
      <c r="F120" s="577"/>
      <c r="G120" s="577"/>
      <c r="H120" s="577"/>
      <c r="I120" s="577"/>
      <c r="J120" s="513"/>
    </row>
    <row r="121" customHeight="1" spans="1:10">
      <c r="A121" s="680"/>
      <c r="B121" s="681"/>
      <c r="C121" s="681"/>
      <c r="D121" s="577"/>
      <c r="E121" s="577"/>
      <c r="F121" s="577"/>
      <c r="G121" s="577"/>
      <c r="H121" s="577"/>
      <c r="I121" s="577"/>
      <c r="J121" s="513"/>
    </row>
    <row r="122" customHeight="1" spans="1:10">
      <c r="A122" s="680"/>
      <c r="B122" s="681"/>
      <c r="C122" s="681"/>
      <c r="D122" s="577"/>
      <c r="E122" s="577"/>
      <c r="F122" s="577"/>
      <c r="G122" s="577"/>
      <c r="H122" s="577"/>
      <c r="I122" s="577"/>
      <c r="J122" s="513"/>
    </row>
    <row r="123" customHeight="1" spans="1:10">
      <c r="A123" s="680"/>
      <c r="B123" s="681"/>
      <c r="C123" s="681"/>
      <c r="D123" s="577"/>
      <c r="E123" s="577"/>
      <c r="F123" s="577"/>
      <c r="G123" s="577"/>
      <c r="H123" s="577"/>
      <c r="I123" s="577"/>
      <c r="J123" s="513"/>
    </row>
    <row r="124" customHeight="1" spans="1:10">
      <c r="A124" s="680"/>
      <c r="B124" s="681"/>
      <c r="C124" s="681"/>
      <c r="D124" s="577"/>
      <c r="E124" s="577"/>
      <c r="F124" s="577"/>
      <c r="G124" s="577"/>
      <c r="H124" s="577"/>
      <c r="I124" s="577"/>
      <c r="J124" s="513"/>
    </row>
    <row r="125" customHeight="1" spans="1:10">
      <c r="A125" s="680"/>
      <c r="B125" s="681"/>
      <c r="C125" s="681"/>
      <c r="D125" s="577"/>
      <c r="E125" s="577"/>
      <c r="F125" s="577"/>
      <c r="G125" s="577"/>
      <c r="H125" s="577"/>
      <c r="I125" s="577"/>
      <c r="J125" s="513"/>
    </row>
    <row r="126" customHeight="1" spans="1:10">
      <c r="A126" s="680"/>
      <c r="B126" s="681"/>
      <c r="C126" s="681"/>
      <c r="D126" s="577"/>
      <c r="E126" s="577"/>
      <c r="F126" s="577"/>
      <c r="G126" s="577"/>
      <c r="H126" s="577"/>
      <c r="I126" s="577"/>
      <c r="J126" s="513"/>
    </row>
    <row r="127" customHeight="1" spans="1:10">
      <c r="A127" s="680"/>
      <c r="B127" s="681"/>
      <c r="C127" s="681"/>
      <c r="D127" s="577"/>
      <c r="E127" s="577"/>
      <c r="F127" s="577"/>
      <c r="G127" s="577"/>
      <c r="H127" s="577"/>
      <c r="I127" s="577"/>
      <c r="J127" s="513"/>
    </row>
    <row r="128" customHeight="1" spans="1:10">
      <c r="A128" s="680"/>
      <c r="B128" s="681"/>
      <c r="C128" s="681"/>
      <c r="D128" s="577"/>
      <c r="E128" s="577"/>
      <c r="F128" s="577"/>
      <c r="G128" s="577"/>
      <c r="H128" s="577"/>
      <c r="I128" s="577"/>
      <c r="J128" s="513"/>
    </row>
    <row r="129" customHeight="1" spans="1:10">
      <c r="A129" s="680"/>
      <c r="B129" s="681"/>
      <c r="C129" s="681"/>
      <c r="D129" s="577"/>
      <c r="E129" s="577"/>
      <c r="F129" s="577"/>
      <c r="G129" s="577"/>
      <c r="H129" s="577"/>
      <c r="I129" s="577"/>
      <c r="J129" s="513"/>
    </row>
    <row r="130" customHeight="1" spans="1:10">
      <c r="A130" s="680"/>
      <c r="B130" s="681"/>
      <c r="C130" s="681"/>
      <c r="D130" s="577"/>
      <c r="E130" s="577"/>
      <c r="F130" s="577"/>
      <c r="G130" s="577"/>
      <c r="H130" s="577"/>
      <c r="I130" s="577"/>
      <c r="J130" s="513"/>
    </row>
    <row r="131" customHeight="1" spans="1:10">
      <c r="A131" s="680"/>
      <c r="B131" s="681"/>
      <c r="C131" s="681"/>
      <c r="D131" s="577"/>
      <c r="E131" s="577"/>
      <c r="F131" s="577"/>
      <c r="G131" s="577"/>
      <c r="H131" s="577"/>
      <c r="I131" s="577"/>
      <c r="J131" s="513"/>
    </row>
    <row r="132" customHeight="1" spans="1:10">
      <c r="A132" s="680"/>
      <c r="B132" s="681"/>
      <c r="C132" s="681"/>
      <c r="D132" s="577"/>
      <c r="E132" s="577"/>
      <c r="F132" s="577"/>
      <c r="G132" s="577"/>
      <c r="H132" s="577"/>
      <c r="I132" s="577"/>
      <c r="J132" s="513"/>
    </row>
    <row r="133" customHeight="1" spans="1:10">
      <c r="A133" s="680"/>
      <c r="B133" s="681"/>
      <c r="C133" s="681"/>
      <c r="D133" s="577"/>
      <c r="E133" s="577"/>
      <c r="F133" s="577"/>
      <c r="G133" s="577"/>
      <c r="H133" s="577"/>
      <c r="I133" s="577"/>
      <c r="J133" s="513"/>
    </row>
    <row r="134" customHeight="1" spans="1:10">
      <c r="A134" s="680"/>
      <c r="B134" s="681"/>
      <c r="C134" s="681"/>
      <c r="D134" s="577"/>
      <c r="E134" s="577"/>
      <c r="F134" s="577"/>
      <c r="G134" s="577"/>
      <c r="H134" s="577"/>
      <c r="I134" s="577"/>
      <c r="J134" s="513"/>
    </row>
    <row r="135" customHeight="1" spans="1:10">
      <c r="A135" s="680"/>
      <c r="B135" s="681"/>
      <c r="C135" s="681"/>
      <c r="D135" s="577"/>
      <c r="E135" s="577"/>
      <c r="F135" s="577"/>
      <c r="G135" s="577"/>
      <c r="H135" s="577"/>
      <c r="I135" s="577"/>
      <c r="J135" s="513"/>
    </row>
    <row r="136" customHeight="1" spans="1:10">
      <c r="A136" s="680"/>
      <c r="B136" s="681"/>
      <c r="C136" s="681"/>
      <c r="D136" s="577"/>
      <c r="E136" s="577"/>
      <c r="F136" s="577"/>
      <c r="G136" s="577"/>
      <c r="H136" s="577"/>
      <c r="I136" s="577"/>
      <c r="J136" s="513"/>
    </row>
    <row r="137" customHeight="1" spans="1:10">
      <c r="A137" s="680"/>
      <c r="B137" s="681"/>
      <c r="C137" s="681"/>
      <c r="D137" s="577"/>
      <c r="E137" s="577"/>
      <c r="F137" s="577"/>
      <c r="G137" s="577"/>
      <c r="H137" s="577"/>
      <c r="I137" s="577"/>
      <c r="J137" s="513"/>
    </row>
    <row r="138" customHeight="1" spans="1:10">
      <c r="A138" s="680"/>
      <c r="B138" s="681"/>
      <c r="C138" s="681"/>
      <c r="D138" s="577"/>
      <c r="E138" s="577"/>
      <c r="F138" s="577"/>
      <c r="G138" s="577"/>
      <c r="H138" s="577"/>
      <c r="I138" s="577"/>
      <c r="J138" s="513"/>
    </row>
    <row r="139" customHeight="1" spans="1:10">
      <c r="A139" s="680"/>
      <c r="B139" s="681"/>
      <c r="C139" s="681"/>
      <c r="D139" s="577"/>
      <c r="E139" s="577"/>
      <c r="F139" s="577"/>
      <c r="G139" s="577"/>
      <c r="H139" s="577"/>
      <c r="I139" s="577"/>
      <c r="J139" s="513"/>
    </row>
    <row r="140" customHeight="1" spans="1:10">
      <c r="A140" s="680"/>
      <c r="B140" s="681"/>
      <c r="C140" s="681"/>
      <c r="D140" s="577"/>
      <c r="E140" s="577"/>
      <c r="F140" s="577"/>
      <c r="G140" s="577"/>
      <c r="H140" s="577"/>
      <c r="I140" s="577"/>
      <c r="J140" s="513"/>
    </row>
    <row r="141" customHeight="1" spans="1:10">
      <c r="A141" s="680"/>
      <c r="B141" s="681"/>
      <c r="C141" s="681"/>
      <c r="D141" s="577"/>
      <c r="E141" s="577"/>
      <c r="F141" s="577"/>
      <c r="G141" s="577"/>
      <c r="H141" s="577"/>
      <c r="I141" s="577"/>
      <c r="J141" s="513"/>
    </row>
    <row r="142" customHeight="1" spans="1:10">
      <c r="A142" s="680"/>
      <c r="B142" s="681"/>
      <c r="C142" s="681"/>
      <c r="D142" s="577"/>
      <c r="E142" s="577"/>
      <c r="F142" s="577"/>
      <c r="G142" s="577"/>
      <c r="H142" s="577"/>
      <c r="I142" s="577"/>
      <c r="J142" s="513"/>
    </row>
    <row r="143" customHeight="1" spans="1:10">
      <c r="A143" s="680"/>
      <c r="B143" s="681"/>
      <c r="C143" s="681"/>
      <c r="D143" s="577"/>
      <c r="E143" s="577"/>
      <c r="F143" s="577"/>
      <c r="G143" s="577"/>
      <c r="H143" s="577"/>
      <c r="I143" s="577"/>
      <c r="J143" s="513"/>
    </row>
    <row r="144" customHeight="1" spans="1:10">
      <c r="A144" s="680"/>
      <c r="B144" s="681"/>
      <c r="C144" s="681"/>
      <c r="D144" s="577"/>
      <c r="E144" s="577"/>
      <c r="F144" s="577"/>
      <c r="G144" s="577"/>
      <c r="H144" s="577"/>
      <c r="I144" s="577"/>
      <c r="J144" s="513"/>
    </row>
    <row r="145" customHeight="1" spans="1:10">
      <c r="A145" s="680"/>
      <c r="B145" s="681"/>
      <c r="C145" s="681"/>
      <c r="D145" s="577"/>
      <c r="E145" s="577"/>
      <c r="F145" s="577"/>
      <c r="G145" s="577"/>
      <c r="H145" s="577"/>
      <c r="I145" s="577"/>
      <c r="J145" s="513"/>
    </row>
    <row r="146" customHeight="1" spans="1:10">
      <c r="A146" s="680"/>
      <c r="B146" s="681"/>
      <c r="C146" s="681"/>
      <c r="D146" s="577"/>
      <c r="E146" s="577"/>
      <c r="F146" s="577"/>
      <c r="G146" s="577"/>
      <c r="H146" s="577"/>
      <c r="I146" s="577"/>
      <c r="J146" s="513"/>
    </row>
    <row r="147" customHeight="1" spans="1:10">
      <c r="A147" s="680"/>
      <c r="B147" s="681"/>
      <c r="C147" s="681"/>
      <c r="D147" s="577"/>
      <c r="E147" s="577"/>
      <c r="F147" s="577"/>
      <c r="G147" s="577"/>
      <c r="H147" s="577"/>
      <c r="I147" s="577"/>
      <c r="J147" s="513"/>
    </row>
    <row r="148" customHeight="1" spans="1:10">
      <c r="A148" s="680"/>
      <c r="B148" s="681"/>
      <c r="C148" s="681"/>
      <c r="D148" s="577"/>
      <c r="E148" s="577"/>
      <c r="F148" s="577"/>
      <c r="G148" s="577"/>
      <c r="H148" s="577"/>
      <c r="I148" s="577"/>
      <c r="J148" s="513"/>
    </row>
    <row r="149" customHeight="1" spans="1:10">
      <c r="A149" s="680"/>
      <c r="B149" s="681"/>
      <c r="C149" s="681"/>
      <c r="D149" s="577"/>
      <c r="E149" s="577"/>
      <c r="F149" s="577"/>
      <c r="G149" s="577"/>
      <c r="H149" s="577"/>
      <c r="I149" s="577"/>
      <c r="J149" s="513"/>
    </row>
    <row r="150" customHeight="1" spans="1:10">
      <c r="A150" s="680"/>
      <c r="B150" s="681"/>
      <c r="C150" s="681"/>
      <c r="D150" s="577"/>
      <c r="E150" s="577"/>
      <c r="F150" s="577"/>
      <c r="G150" s="577"/>
      <c r="H150" s="577"/>
      <c r="I150" s="577"/>
      <c r="J150" s="513"/>
    </row>
    <row r="151" customHeight="1" spans="1:10">
      <c r="A151" s="680"/>
      <c r="B151" s="681"/>
      <c r="C151" s="681"/>
      <c r="D151" s="577"/>
      <c r="E151" s="577"/>
      <c r="F151" s="577"/>
      <c r="G151" s="577"/>
      <c r="H151" s="577"/>
      <c r="I151" s="577"/>
      <c r="J151" s="513"/>
    </row>
    <row r="152" customHeight="1" spans="1:10">
      <c r="A152" s="680"/>
      <c r="B152" s="681"/>
      <c r="C152" s="681"/>
      <c r="D152" s="577"/>
      <c r="E152" s="577"/>
      <c r="F152" s="577"/>
      <c r="G152" s="577"/>
      <c r="H152" s="577"/>
      <c r="I152" s="577"/>
      <c r="J152" s="513"/>
    </row>
    <row r="153" customHeight="1" spans="1:10">
      <c r="A153" s="680"/>
      <c r="B153" s="681"/>
      <c r="C153" s="681"/>
      <c r="D153" s="577"/>
      <c r="E153" s="577"/>
      <c r="F153" s="577"/>
      <c r="G153" s="577"/>
      <c r="H153" s="577"/>
      <c r="I153" s="577"/>
      <c r="J153" s="513"/>
    </row>
    <row r="154" customHeight="1" spans="1:10">
      <c r="A154" s="680"/>
      <c r="B154" s="681"/>
      <c r="C154" s="681"/>
      <c r="D154" s="577"/>
      <c r="E154" s="577"/>
      <c r="F154" s="577"/>
      <c r="G154" s="577"/>
      <c r="H154" s="577"/>
      <c r="I154" s="577"/>
      <c r="J154" s="513"/>
    </row>
    <row r="155" customHeight="1" spans="1:10">
      <c r="A155" s="680"/>
      <c r="B155" s="681"/>
      <c r="C155" s="681"/>
      <c r="D155" s="577"/>
      <c r="E155" s="577"/>
      <c r="F155" s="577"/>
      <c r="G155" s="577"/>
      <c r="H155" s="577"/>
      <c r="I155" s="577"/>
      <c r="J155" s="513"/>
    </row>
    <row r="156" customHeight="1" spans="1:10">
      <c r="A156" s="680"/>
      <c r="B156" s="681"/>
      <c r="C156" s="681"/>
      <c r="D156" s="577"/>
      <c r="E156" s="577"/>
      <c r="F156" s="577"/>
      <c r="G156" s="577"/>
      <c r="H156" s="577"/>
      <c r="I156" s="577"/>
      <c r="J156" s="513"/>
    </row>
    <row r="157" customHeight="1" spans="1:10">
      <c r="A157" s="680"/>
      <c r="B157" s="681"/>
      <c r="C157" s="681"/>
      <c r="D157" s="577"/>
      <c r="E157" s="577"/>
      <c r="F157" s="577"/>
      <c r="G157" s="577"/>
      <c r="H157" s="577"/>
      <c r="I157" s="577"/>
      <c r="J157" s="513"/>
    </row>
    <row r="158" customHeight="1" spans="1:10">
      <c r="A158" s="680"/>
      <c r="B158" s="681"/>
      <c r="C158" s="681"/>
      <c r="D158" s="577"/>
      <c r="E158" s="577"/>
      <c r="F158" s="577"/>
      <c r="G158" s="577"/>
      <c r="H158" s="577"/>
      <c r="I158" s="577"/>
      <c r="J158" s="513"/>
    </row>
    <row r="159" customHeight="1" spans="1:10">
      <c r="A159" s="680"/>
      <c r="B159" s="681"/>
      <c r="C159" s="681"/>
      <c r="D159" s="577"/>
      <c r="E159" s="577"/>
      <c r="F159" s="577"/>
      <c r="G159" s="577"/>
      <c r="H159" s="577"/>
      <c r="I159" s="577"/>
      <c r="J159" s="513"/>
    </row>
    <row r="160" customHeight="1" spans="1:10">
      <c r="A160" s="680"/>
      <c r="B160" s="681"/>
      <c r="C160" s="681"/>
      <c r="D160" s="577"/>
      <c r="E160" s="577"/>
      <c r="F160" s="577"/>
      <c r="G160" s="577"/>
      <c r="H160" s="577"/>
      <c r="I160" s="577"/>
      <c r="J160" s="513"/>
    </row>
    <row r="161" customHeight="1" spans="1:10">
      <c r="A161" s="680"/>
      <c r="B161" s="681"/>
      <c r="C161" s="681"/>
      <c r="D161" s="577"/>
      <c r="E161" s="577"/>
      <c r="F161" s="577"/>
      <c r="G161" s="577"/>
      <c r="H161" s="577"/>
      <c r="I161" s="577"/>
      <c r="J161" s="513"/>
    </row>
    <row r="162" customHeight="1" spans="1:10">
      <c r="A162" s="680"/>
      <c r="B162" s="681"/>
      <c r="C162" s="681"/>
      <c r="D162" s="577"/>
      <c r="E162" s="577"/>
      <c r="F162" s="577"/>
      <c r="G162" s="577"/>
      <c r="H162" s="577"/>
      <c r="I162" s="577"/>
      <c r="J162" s="513"/>
    </row>
    <row r="163" customHeight="1" spans="1:10">
      <c r="A163" s="680"/>
      <c r="B163" s="681"/>
      <c r="C163" s="681"/>
      <c r="D163" s="577"/>
      <c r="E163" s="577"/>
      <c r="F163" s="577"/>
      <c r="G163" s="577"/>
      <c r="H163" s="577"/>
      <c r="I163" s="577"/>
      <c r="J163" s="513"/>
    </row>
    <row r="164" customHeight="1" spans="1:10">
      <c r="A164" s="680"/>
      <c r="B164" s="681"/>
      <c r="C164" s="681"/>
      <c r="D164" s="577"/>
      <c r="E164" s="577"/>
      <c r="F164" s="577"/>
      <c r="G164" s="577"/>
      <c r="H164" s="577"/>
      <c r="I164" s="577"/>
      <c r="J164" s="513"/>
    </row>
    <row r="165" customHeight="1" spans="1:10">
      <c r="A165" s="680"/>
      <c r="B165" s="681"/>
      <c r="C165" s="681"/>
      <c r="D165" s="577"/>
      <c r="E165" s="577"/>
      <c r="F165" s="577"/>
      <c r="G165" s="577"/>
      <c r="H165" s="577"/>
      <c r="I165" s="577"/>
      <c r="J165" s="513"/>
    </row>
    <row r="166" customHeight="1" spans="1:10">
      <c r="A166" s="680"/>
      <c r="B166" s="681"/>
      <c r="C166" s="681"/>
      <c r="D166" s="577"/>
      <c r="E166" s="577"/>
      <c r="F166" s="577"/>
      <c r="G166" s="577"/>
      <c r="H166" s="577"/>
      <c r="I166" s="577"/>
      <c r="J166" s="513"/>
    </row>
    <row r="167" customHeight="1" spans="1:10">
      <c r="A167" s="680"/>
      <c r="B167" s="681"/>
      <c r="C167" s="681"/>
      <c r="D167" s="577"/>
      <c r="E167" s="577"/>
      <c r="F167" s="577"/>
      <c r="G167" s="577"/>
      <c r="H167" s="577"/>
      <c r="I167" s="577"/>
      <c r="J167" s="513"/>
    </row>
    <row r="168" customHeight="1" spans="1:10">
      <c r="A168" s="680"/>
      <c r="B168" s="681"/>
      <c r="C168" s="681"/>
      <c r="D168" s="577"/>
      <c r="E168" s="577"/>
      <c r="F168" s="577"/>
      <c r="G168" s="577"/>
      <c r="H168" s="577"/>
      <c r="I168" s="577"/>
      <c r="J168" s="513"/>
    </row>
    <row r="169" customHeight="1" spans="1:10">
      <c r="A169" s="680"/>
      <c r="B169" s="681"/>
      <c r="C169" s="681"/>
      <c r="D169" s="577"/>
      <c r="E169" s="577"/>
      <c r="F169" s="577"/>
      <c r="G169" s="577"/>
      <c r="H169" s="577"/>
      <c r="I169" s="577"/>
      <c r="J169" s="513"/>
    </row>
    <row r="170" customHeight="1" spans="1:10">
      <c r="A170" s="680"/>
      <c r="B170" s="681"/>
      <c r="C170" s="681"/>
      <c r="D170" s="577"/>
      <c r="E170" s="577"/>
      <c r="F170" s="577"/>
      <c r="G170" s="577"/>
      <c r="H170" s="577"/>
      <c r="I170" s="577"/>
      <c r="J170" s="513"/>
    </row>
    <row r="171" customHeight="1" spans="1:10">
      <c r="A171" s="680"/>
      <c r="B171" s="681"/>
      <c r="C171" s="681"/>
      <c r="D171" s="577"/>
      <c r="E171" s="577"/>
      <c r="F171" s="577"/>
      <c r="G171" s="577"/>
      <c r="H171" s="577"/>
      <c r="I171" s="577"/>
      <c r="J171" s="513"/>
    </row>
    <row r="172" customHeight="1" spans="1:10">
      <c r="A172" s="680"/>
      <c r="B172" s="681"/>
      <c r="C172" s="681"/>
      <c r="D172" s="577"/>
      <c r="E172" s="577"/>
      <c r="F172" s="577"/>
      <c r="G172" s="577"/>
      <c r="H172" s="577"/>
      <c r="I172" s="577"/>
      <c r="J172" s="513"/>
    </row>
    <row r="173" customHeight="1" spans="1:10">
      <c r="A173" s="680"/>
      <c r="B173" s="681"/>
      <c r="C173" s="681"/>
      <c r="D173" s="577"/>
      <c r="E173" s="577"/>
      <c r="F173" s="577"/>
      <c r="G173" s="577"/>
      <c r="H173" s="577"/>
      <c r="I173" s="577"/>
      <c r="J173" s="513"/>
    </row>
    <row r="174" customHeight="1" spans="1:10">
      <c r="A174" s="680"/>
      <c r="B174" s="681"/>
      <c r="C174" s="681"/>
      <c r="D174" s="577"/>
      <c r="E174" s="577"/>
      <c r="F174" s="577"/>
      <c r="G174" s="577"/>
      <c r="H174" s="577"/>
      <c r="I174" s="577"/>
      <c r="J174" s="513"/>
    </row>
    <row r="175" customHeight="1" spans="1:10">
      <c r="A175" s="680"/>
      <c r="B175" s="681"/>
      <c r="C175" s="681"/>
      <c r="D175" s="577"/>
      <c r="E175" s="577"/>
      <c r="F175" s="577"/>
      <c r="G175" s="577"/>
      <c r="H175" s="577"/>
      <c r="I175" s="577"/>
      <c r="J175" s="513"/>
    </row>
    <row r="176" customHeight="1" spans="1:10">
      <c r="A176" s="680"/>
      <c r="B176" s="681"/>
      <c r="C176" s="681"/>
      <c r="D176" s="577"/>
      <c r="E176" s="577"/>
      <c r="F176" s="577"/>
      <c r="G176" s="577"/>
      <c r="H176" s="577"/>
      <c r="I176" s="577"/>
      <c r="J176" s="513"/>
    </row>
    <row r="177" customHeight="1" spans="1:10">
      <c r="A177" s="680"/>
      <c r="B177" s="681"/>
      <c r="C177" s="681"/>
      <c r="D177" s="577"/>
      <c r="E177" s="577"/>
      <c r="F177" s="577"/>
      <c r="G177" s="577"/>
      <c r="H177" s="577"/>
      <c r="I177" s="577"/>
      <c r="J177" s="513"/>
    </row>
    <row r="178" customHeight="1" spans="1:10">
      <c r="A178" s="680"/>
      <c r="B178" s="681"/>
      <c r="C178" s="681"/>
      <c r="D178" s="577"/>
      <c r="E178" s="577"/>
      <c r="F178" s="577"/>
      <c r="G178" s="577"/>
      <c r="H178" s="577"/>
      <c r="I178" s="577"/>
      <c r="J178" s="513"/>
    </row>
    <row r="179" customHeight="1" spans="1:10">
      <c r="A179" s="680"/>
      <c r="B179" s="681"/>
      <c r="C179" s="681"/>
      <c r="D179" s="577"/>
      <c r="E179" s="577"/>
      <c r="F179" s="577"/>
      <c r="G179" s="577"/>
      <c r="H179" s="577"/>
      <c r="I179" s="577"/>
      <c r="J179" s="513"/>
    </row>
    <row r="180" customHeight="1" spans="1:10">
      <c r="A180" s="680"/>
      <c r="B180" s="681"/>
      <c r="C180" s="681"/>
      <c r="D180" s="577"/>
      <c r="E180" s="577"/>
      <c r="F180" s="577"/>
      <c r="G180" s="577"/>
      <c r="H180" s="577"/>
      <c r="I180" s="577"/>
      <c r="J180" s="513"/>
    </row>
    <row r="181" customHeight="1" spans="1:10">
      <c r="A181" s="680"/>
      <c r="B181" s="681"/>
      <c r="C181" s="681"/>
      <c r="D181" s="577"/>
      <c r="E181" s="577"/>
      <c r="F181" s="577"/>
      <c r="G181" s="577"/>
      <c r="H181" s="577"/>
      <c r="I181" s="577"/>
      <c r="J181" s="513"/>
    </row>
    <row r="182" customHeight="1" spans="1:10">
      <c r="A182" s="680"/>
      <c r="B182" s="681"/>
      <c r="C182" s="681"/>
      <c r="D182" s="577"/>
      <c r="E182" s="577"/>
      <c r="F182" s="577"/>
      <c r="G182" s="577"/>
      <c r="H182" s="577"/>
      <c r="I182" s="577"/>
      <c r="J182" s="513"/>
    </row>
    <row r="183" customHeight="1" spans="1:10">
      <c r="A183" s="680"/>
      <c r="B183" s="681"/>
      <c r="C183" s="681"/>
      <c r="D183" s="577"/>
      <c r="E183" s="577"/>
      <c r="F183" s="577"/>
      <c r="G183" s="577"/>
      <c r="H183" s="577"/>
      <c r="I183" s="577"/>
      <c r="J183" s="513"/>
    </row>
    <row r="184" customHeight="1" spans="1:10">
      <c r="A184" s="680"/>
      <c r="B184" s="681"/>
      <c r="C184" s="681"/>
      <c r="D184" s="577"/>
      <c r="E184" s="577"/>
      <c r="F184" s="577"/>
      <c r="G184" s="577"/>
      <c r="H184" s="577"/>
      <c r="I184" s="577"/>
      <c r="J184" s="513"/>
    </row>
    <row r="185" customHeight="1" spans="1:10">
      <c r="A185" s="680"/>
      <c r="B185" s="681"/>
      <c r="C185" s="681"/>
      <c r="D185" s="577"/>
      <c r="E185" s="577"/>
      <c r="F185" s="577"/>
      <c r="G185" s="577"/>
      <c r="H185" s="577"/>
      <c r="I185" s="577"/>
      <c r="J185" s="513"/>
    </row>
    <row r="186" customHeight="1" spans="1:10">
      <c r="A186" s="680"/>
      <c r="B186" s="681"/>
      <c r="C186" s="681"/>
      <c r="D186" s="577"/>
      <c r="E186" s="577"/>
      <c r="F186" s="577"/>
      <c r="G186" s="577"/>
      <c r="H186" s="577"/>
      <c r="I186" s="577"/>
      <c r="J186" s="513"/>
    </row>
    <row r="187" customHeight="1" spans="1:10">
      <c r="A187" s="680"/>
      <c r="B187" s="681"/>
      <c r="C187" s="681"/>
      <c r="D187" s="577"/>
      <c r="E187" s="577"/>
      <c r="F187" s="577"/>
      <c r="G187" s="577"/>
      <c r="H187" s="577"/>
      <c r="I187" s="577"/>
      <c r="J187" s="513"/>
    </row>
    <row r="188" customHeight="1" spans="1:10">
      <c r="A188" s="680"/>
      <c r="B188" s="681"/>
      <c r="C188" s="681"/>
      <c r="D188" s="577"/>
      <c r="E188" s="577"/>
      <c r="F188" s="577"/>
      <c r="G188" s="577"/>
      <c r="H188" s="577"/>
      <c r="I188" s="577"/>
      <c r="J188" s="513"/>
    </row>
    <row r="189" customHeight="1" spans="1:10">
      <c r="A189" s="680"/>
      <c r="B189" s="681"/>
      <c r="C189" s="681"/>
      <c r="D189" s="577"/>
      <c r="E189" s="577"/>
      <c r="F189" s="577"/>
      <c r="G189" s="577"/>
      <c r="H189" s="577"/>
      <c r="I189" s="577"/>
      <c r="J189" s="513"/>
    </row>
    <row r="190" customHeight="1" spans="1:10">
      <c r="A190" s="680"/>
      <c r="B190" s="681"/>
      <c r="C190" s="681"/>
      <c r="D190" s="577"/>
      <c r="E190" s="577"/>
      <c r="F190" s="577"/>
      <c r="G190" s="577"/>
      <c r="H190" s="577"/>
      <c r="I190" s="577"/>
      <c r="J190" s="513"/>
    </row>
    <row r="191" customHeight="1" spans="1:10">
      <c r="A191" s="680"/>
      <c r="B191" s="681"/>
      <c r="C191" s="681"/>
      <c r="D191" s="577"/>
      <c r="E191" s="577"/>
      <c r="F191" s="577"/>
      <c r="G191" s="577"/>
      <c r="H191" s="577"/>
      <c r="I191" s="577"/>
      <c r="J191" s="513"/>
    </row>
    <row r="192" customHeight="1" spans="1:10">
      <c r="A192" s="680"/>
      <c r="B192" s="681"/>
      <c r="C192" s="681"/>
      <c r="D192" s="577"/>
      <c r="E192" s="577"/>
      <c r="F192" s="577"/>
      <c r="G192" s="577"/>
      <c r="H192" s="577"/>
      <c r="I192" s="577"/>
      <c r="J192" s="513"/>
    </row>
    <row r="193" customHeight="1" spans="1:10">
      <c r="A193" s="680"/>
      <c r="B193" s="681"/>
      <c r="C193" s="681"/>
      <c r="D193" s="577"/>
      <c r="E193" s="577"/>
      <c r="F193" s="577"/>
      <c r="G193" s="577"/>
      <c r="H193" s="577"/>
      <c r="I193" s="577"/>
      <c r="J193" s="513"/>
    </row>
    <row r="194" customHeight="1" spans="1:10">
      <c r="A194" s="680"/>
      <c r="B194" s="681"/>
      <c r="C194" s="681"/>
      <c r="D194" s="577"/>
      <c r="E194" s="577"/>
      <c r="F194" s="577"/>
      <c r="G194" s="577"/>
      <c r="H194" s="577"/>
      <c r="I194" s="577"/>
      <c r="J194" s="513"/>
    </row>
    <row r="195" customHeight="1" spans="1:10">
      <c r="A195" s="680"/>
      <c r="B195" s="681"/>
      <c r="C195" s="681"/>
      <c r="D195" s="577"/>
      <c r="E195" s="577"/>
      <c r="F195" s="577"/>
      <c r="G195" s="577"/>
      <c r="H195" s="577"/>
      <c r="I195" s="577"/>
      <c r="J195" s="513"/>
    </row>
    <row r="196" customHeight="1" spans="1:10">
      <c r="A196" s="680"/>
      <c r="B196" s="681"/>
      <c r="C196" s="681"/>
      <c r="D196" s="577"/>
      <c r="E196" s="577"/>
      <c r="F196" s="577"/>
      <c r="G196" s="577"/>
      <c r="H196" s="577"/>
      <c r="I196" s="577"/>
      <c r="J196" s="513"/>
    </row>
    <row r="197" customHeight="1" spans="1:10">
      <c r="A197" s="680"/>
      <c r="B197" s="681"/>
      <c r="C197" s="681"/>
      <c r="D197" s="577"/>
      <c r="E197" s="577"/>
      <c r="F197" s="577"/>
      <c r="G197" s="577"/>
      <c r="H197" s="577"/>
      <c r="I197" s="577"/>
      <c r="J197" s="513"/>
    </row>
    <row r="198" customHeight="1" spans="1:10">
      <c r="A198" s="680"/>
      <c r="B198" s="681"/>
      <c r="C198" s="681"/>
      <c r="D198" s="577"/>
      <c r="E198" s="577"/>
      <c r="F198" s="577"/>
      <c r="G198" s="577"/>
      <c r="H198" s="577"/>
      <c r="I198" s="577"/>
      <c r="J198" s="513"/>
    </row>
    <row r="199" customHeight="1" spans="1:10">
      <c r="A199" s="680"/>
      <c r="B199" s="681"/>
      <c r="C199" s="681"/>
      <c r="D199" s="577"/>
      <c r="E199" s="577"/>
      <c r="F199" s="577"/>
      <c r="G199" s="577"/>
      <c r="H199" s="577"/>
      <c r="I199" s="577"/>
      <c r="J199" s="513"/>
    </row>
    <row r="200" customHeight="1" spans="1:10">
      <c r="A200" s="680"/>
      <c r="B200" s="681"/>
      <c r="C200" s="681"/>
      <c r="D200" s="577"/>
      <c r="E200" s="577"/>
      <c r="F200" s="577"/>
      <c r="G200" s="577"/>
      <c r="H200" s="577"/>
      <c r="I200" s="577"/>
      <c r="J200" s="513"/>
    </row>
    <row r="201" customHeight="1" spans="1:10">
      <c r="A201" s="680"/>
      <c r="B201" s="681"/>
      <c r="C201" s="681"/>
      <c r="D201" s="577"/>
      <c r="E201" s="577"/>
      <c r="F201" s="577"/>
      <c r="G201" s="577"/>
      <c r="H201" s="577"/>
      <c r="I201" s="577"/>
      <c r="J201" s="513"/>
    </row>
    <row r="202" customHeight="1" spans="1:10">
      <c r="A202" s="680"/>
      <c r="B202" s="681"/>
      <c r="C202" s="681"/>
      <c r="D202" s="577"/>
      <c r="E202" s="577"/>
      <c r="F202" s="577"/>
      <c r="G202" s="577"/>
      <c r="H202" s="577"/>
      <c r="I202" s="577"/>
      <c r="J202" s="513"/>
    </row>
    <row r="203" customHeight="1" spans="1:10">
      <c r="A203" s="680"/>
      <c r="B203" s="681"/>
      <c r="C203" s="681"/>
      <c r="D203" s="577"/>
      <c r="E203" s="577"/>
      <c r="F203" s="577"/>
      <c r="G203" s="577"/>
      <c r="H203" s="577"/>
      <c r="I203" s="577"/>
      <c r="J203" s="513"/>
    </row>
    <row r="204" customHeight="1" spans="1:10">
      <c r="A204" s="680"/>
      <c r="B204" s="681"/>
      <c r="C204" s="681"/>
      <c r="D204" s="577"/>
      <c r="E204" s="577"/>
      <c r="F204" s="577"/>
      <c r="G204" s="577"/>
      <c r="H204" s="577"/>
      <c r="I204" s="577"/>
      <c r="J204" s="513"/>
    </row>
    <row r="205" customHeight="1" spans="1:10">
      <c r="A205" s="680"/>
      <c r="B205" s="681"/>
      <c r="C205" s="681"/>
      <c r="D205" s="577"/>
      <c r="E205" s="577"/>
      <c r="F205" s="577"/>
      <c r="G205" s="577"/>
      <c r="H205" s="577"/>
      <c r="I205" s="577"/>
      <c r="J205" s="513"/>
    </row>
    <row r="206" customHeight="1" spans="1:10">
      <c r="A206" s="680"/>
      <c r="B206" s="681"/>
      <c r="C206" s="681"/>
      <c r="D206" s="577"/>
      <c r="E206" s="577"/>
      <c r="F206" s="577"/>
      <c r="G206" s="577"/>
      <c r="H206" s="577"/>
      <c r="I206" s="577"/>
      <c r="J206" s="513"/>
    </row>
    <row r="207" customHeight="1" spans="1:10">
      <c r="A207" s="680"/>
      <c r="B207" s="681"/>
      <c r="C207" s="681"/>
      <c r="D207" s="577"/>
      <c r="E207" s="577"/>
      <c r="F207" s="577"/>
      <c r="G207" s="577"/>
      <c r="H207" s="577"/>
      <c r="I207" s="577"/>
      <c r="J207" s="513"/>
    </row>
    <row r="208" customHeight="1" spans="1:10">
      <c r="A208" s="680"/>
      <c r="B208" s="681"/>
      <c r="C208" s="681"/>
      <c r="D208" s="577"/>
      <c r="E208" s="577"/>
      <c r="F208" s="577"/>
      <c r="G208" s="577"/>
      <c r="H208" s="577"/>
      <c r="I208" s="577"/>
      <c r="J208" s="513"/>
    </row>
    <row r="209" customHeight="1" spans="1:10">
      <c r="A209" s="680"/>
      <c r="B209" s="681"/>
      <c r="C209" s="681"/>
      <c r="D209" s="577"/>
      <c r="E209" s="577"/>
      <c r="F209" s="577"/>
      <c r="G209" s="577"/>
      <c r="H209" s="577"/>
      <c r="I209" s="577"/>
      <c r="J209" s="513"/>
    </row>
    <row r="210" customHeight="1" spans="1:10">
      <c r="A210" s="680"/>
      <c r="B210" s="681"/>
      <c r="C210" s="681"/>
      <c r="D210" s="577"/>
      <c r="E210" s="577"/>
      <c r="F210" s="577"/>
      <c r="G210" s="577"/>
      <c r="H210" s="577"/>
      <c r="I210" s="577"/>
      <c r="J210" s="513"/>
    </row>
    <row r="211" customHeight="1" spans="1:10">
      <c r="A211" s="680"/>
      <c r="B211" s="681"/>
      <c r="C211" s="681"/>
      <c r="D211" s="577"/>
      <c r="E211" s="577"/>
      <c r="F211" s="577"/>
      <c r="G211" s="577"/>
      <c r="H211" s="577"/>
      <c r="I211" s="577"/>
      <c r="J211" s="513"/>
    </row>
    <row r="212" customHeight="1" spans="1:10">
      <c r="A212" s="680"/>
      <c r="B212" s="681"/>
      <c r="C212" s="681"/>
      <c r="D212" s="577"/>
      <c r="E212" s="577"/>
      <c r="F212" s="577"/>
      <c r="G212" s="577"/>
      <c r="H212" s="577"/>
      <c r="I212" s="577"/>
      <c r="J212" s="513"/>
    </row>
    <row r="213" customHeight="1" spans="1:10">
      <c r="A213" s="680"/>
      <c r="B213" s="681"/>
      <c r="C213" s="681"/>
      <c r="D213" s="577"/>
      <c r="E213" s="577"/>
      <c r="F213" s="577"/>
      <c r="G213" s="577"/>
      <c r="H213" s="577"/>
      <c r="I213" s="577"/>
      <c r="J213" s="513"/>
    </row>
    <row r="214" customHeight="1" spans="1:10">
      <c r="A214" s="680"/>
      <c r="B214" s="681"/>
      <c r="C214" s="681"/>
      <c r="D214" s="577"/>
      <c r="E214" s="577"/>
      <c r="F214" s="577"/>
      <c r="G214" s="577"/>
      <c r="H214" s="577"/>
      <c r="I214" s="577"/>
      <c r="J214" s="513"/>
    </row>
    <row r="215" customHeight="1" spans="1:10">
      <c r="A215" s="680"/>
      <c r="B215" s="681"/>
      <c r="C215" s="681"/>
      <c r="D215" s="577"/>
      <c r="E215" s="577"/>
      <c r="F215" s="577"/>
      <c r="G215" s="577"/>
      <c r="H215" s="577"/>
      <c r="I215" s="577"/>
      <c r="J215" s="513"/>
    </row>
    <row r="216" customHeight="1" spans="1:10">
      <c r="A216" s="680"/>
      <c r="B216" s="681"/>
      <c r="C216" s="681"/>
      <c r="D216" s="577"/>
      <c r="E216" s="577"/>
      <c r="F216" s="577"/>
      <c r="G216" s="577"/>
      <c r="H216" s="577"/>
      <c r="I216" s="577"/>
      <c r="J216" s="513"/>
    </row>
    <row r="217" customHeight="1" spans="1:10">
      <c r="A217" s="680"/>
      <c r="B217" s="681"/>
      <c r="C217" s="681"/>
      <c r="D217" s="577"/>
      <c r="E217" s="577"/>
      <c r="F217" s="577"/>
      <c r="G217" s="577"/>
      <c r="H217" s="577"/>
      <c r="I217" s="577"/>
      <c r="J217" s="513"/>
    </row>
    <row r="218" customHeight="1" spans="1:10">
      <c r="A218" s="680"/>
      <c r="B218" s="681"/>
      <c r="C218" s="681"/>
      <c r="D218" s="577"/>
      <c r="E218" s="577"/>
      <c r="F218" s="577"/>
      <c r="G218" s="577"/>
      <c r="H218" s="577"/>
      <c r="I218" s="577"/>
      <c r="J218" s="513"/>
    </row>
    <row r="219" customHeight="1" spans="1:10">
      <c r="A219" s="680"/>
      <c r="B219" s="681"/>
      <c r="C219" s="681"/>
      <c r="D219" s="577"/>
      <c r="E219" s="577"/>
      <c r="F219" s="577"/>
      <c r="G219" s="577"/>
      <c r="H219" s="577"/>
      <c r="I219" s="577"/>
      <c r="J219" s="513"/>
    </row>
    <row r="220" customHeight="1" spans="1:10">
      <c r="A220" s="680"/>
      <c r="B220" s="681"/>
      <c r="C220" s="681"/>
      <c r="D220" s="577"/>
      <c r="E220" s="577"/>
      <c r="F220" s="577"/>
      <c r="G220" s="577"/>
      <c r="H220" s="577"/>
      <c r="I220" s="577"/>
      <c r="J220" s="513"/>
    </row>
    <row r="221" customHeight="1" spans="1:10">
      <c r="A221" s="680"/>
      <c r="B221" s="681"/>
      <c r="C221" s="681"/>
      <c r="D221" s="577"/>
      <c r="E221" s="577"/>
      <c r="F221" s="577"/>
      <c r="G221" s="577"/>
      <c r="H221" s="577"/>
      <c r="I221" s="577"/>
      <c r="J221" s="513"/>
    </row>
    <row r="222" customHeight="1" spans="1:10">
      <c r="A222" s="680"/>
      <c r="B222" s="681"/>
      <c r="C222" s="681"/>
      <c r="D222" s="577"/>
      <c r="E222" s="577"/>
      <c r="F222" s="577"/>
      <c r="G222" s="577"/>
      <c r="H222" s="577"/>
      <c r="I222" s="577"/>
      <c r="J222" s="513"/>
    </row>
    <row r="223" customHeight="1" spans="1:10">
      <c r="A223" s="680"/>
      <c r="B223" s="681"/>
      <c r="C223" s="681"/>
      <c r="D223" s="577"/>
      <c r="E223" s="577"/>
      <c r="F223" s="577"/>
      <c r="G223" s="577"/>
      <c r="H223" s="577"/>
      <c r="I223" s="577"/>
      <c r="J223" s="513"/>
    </row>
    <row r="224" customHeight="1" spans="1:10">
      <c r="A224" s="680"/>
      <c r="B224" s="681"/>
      <c r="C224" s="681"/>
      <c r="D224" s="577"/>
      <c r="E224" s="577"/>
      <c r="F224" s="577"/>
      <c r="G224" s="577"/>
      <c r="H224" s="577"/>
      <c r="I224" s="577"/>
      <c r="J224" s="513"/>
    </row>
    <row r="225" customHeight="1" spans="1:10">
      <c r="A225" s="680"/>
      <c r="B225" s="681"/>
      <c r="C225" s="681"/>
      <c r="D225" s="577"/>
      <c r="E225" s="577"/>
      <c r="F225" s="577"/>
      <c r="G225" s="577"/>
      <c r="H225" s="577"/>
      <c r="I225" s="577"/>
      <c r="J225" s="513"/>
    </row>
    <row r="226" customHeight="1" spans="1:10">
      <c r="A226" s="680"/>
      <c r="B226" s="681"/>
      <c r="C226" s="681"/>
      <c r="D226" s="577"/>
      <c r="E226" s="577"/>
      <c r="F226" s="577"/>
      <c r="G226" s="577"/>
      <c r="H226" s="577"/>
      <c r="I226" s="577"/>
      <c r="J226" s="513"/>
    </row>
    <row r="227" customHeight="1" spans="1:10">
      <c r="A227" s="680"/>
      <c r="B227" s="681"/>
      <c r="C227" s="681"/>
      <c r="D227" s="577"/>
      <c r="E227" s="577"/>
      <c r="F227" s="577"/>
      <c r="G227" s="577"/>
      <c r="H227" s="577"/>
      <c r="I227" s="577"/>
      <c r="J227" s="513"/>
    </row>
    <row r="228" customHeight="1" spans="1:10">
      <c r="A228" s="680"/>
      <c r="B228" s="681"/>
      <c r="C228" s="681"/>
      <c r="D228" s="577"/>
      <c r="E228" s="577"/>
      <c r="F228" s="577"/>
      <c r="G228" s="577"/>
      <c r="H228" s="577"/>
      <c r="I228" s="577"/>
      <c r="J228" s="513"/>
    </row>
    <row r="229" customHeight="1" spans="1:10">
      <c r="A229" s="680"/>
      <c r="B229" s="681"/>
      <c r="C229" s="681"/>
      <c r="D229" s="577"/>
      <c r="E229" s="577"/>
      <c r="F229" s="577"/>
      <c r="G229" s="577"/>
      <c r="H229" s="577"/>
      <c r="I229" s="577"/>
      <c r="J229" s="513"/>
    </row>
    <row r="230" customHeight="1" spans="1:10">
      <c r="A230" s="680"/>
      <c r="B230" s="681"/>
      <c r="C230" s="681"/>
      <c r="D230" s="577"/>
      <c r="E230" s="577"/>
      <c r="F230" s="577"/>
      <c r="G230" s="577"/>
      <c r="H230" s="577"/>
      <c r="I230" s="577"/>
      <c r="J230" s="513"/>
    </row>
    <row r="231" customHeight="1" spans="1:10">
      <c r="A231" s="680"/>
      <c r="B231" s="681"/>
      <c r="C231" s="681"/>
      <c r="D231" s="577"/>
      <c r="E231" s="577"/>
      <c r="F231" s="577"/>
      <c r="G231" s="577"/>
      <c r="H231" s="577"/>
      <c r="I231" s="577"/>
      <c r="J231" s="513"/>
    </row>
    <row r="232" customHeight="1" spans="1:10">
      <c r="A232" s="680"/>
      <c r="B232" s="681"/>
      <c r="C232" s="681"/>
      <c r="D232" s="577"/>
      <c r="E232" s="577"/>
      <c r="F232" s="577"/>
      <c r="G232" s="577"/>
      <c r="H232" s="577"/>
      <c r="I232" s="577"/>
      <c r="J232" s="513"/>
    </row>
    <row r="233" customHeight="1" spans="1:10">
      <c r="A233" s="680"/>
      <c r="B233" s="681"/>
      <c r="C233" s="681"/>
      <c r="D233" s="577"/>
      <c r="E233" s="577"/>
      <c r="F233" s="577"/>
      <c r="G233" s="577"/>
      <c r="H233" s="577"/>
      <c r="I233" s="577"/>
      <c r="J233" s="513"/>
    </row>
    <row r="234" customHeight="1" spans="1:10">
      <c r="A234" s="680"/>
      <c r="B234" s="681"/>
      <c r="C234" s="681"/>
      <c r="D234" s="577"/>
      <c r="E234" s="577"/>
      <c r="F234" s="577"/>
      <c r="G234" s="577"/>
      <c r="H234" s="577"/>
      <c r="I234" s="577"/>
      <c r="J234" s="513"/>
    </row>
    <row r="235" customHeight="1" spans="1:10">
      <c r="A235" s="680"/>
      <c r="B235" s="681"/>
      <c r="C235" s="681"/>
      <c r="D235" s="577"/>
      <c r="E235" s="577"/>
      <c r="F235" s="577"/>
      <c r="G235" s="577"/>
      <c r="H235" s="577"/>
      <c r="I235" s="577"/>
      <c r="J235" s="513"/>
    </row>
    <row r="236" customHeight="1" spans="1:10">
      <c r="A236" s="680"/>
      <c r="B236" s="681"/>
      <c r="C236" s="681"/>
      <c r="D236" s="577"/>
      <c r="E236" s="577"/>
      <c r="F236" s="577"/>
      <c r="G236" s="577"/>
      <c r="H236" s="577"/>
      <c r="I236" s="577"/>
      <c r="J236" s="513"/>
    </row>
    <row r="237" customHeight="1" spans="1:10">
      <c r="A237" s="680"/>
      <c r="B237" s="681"/>
      <c r="C237" s="681"/>
      <c r="D237" s="577"/>
      <c r="E237" s="577"/>
      <c r="F237" s="577"/>
      <c r="G237" s="577"/>
      <c r="H237" s="577"/>
      <c r="I237" s="577"/>
      <c r="J237" s="513"/>
    </row>
    <row r="238" customHeight="1" spans="1:10">
      <c r="A238" s="680"/>
      <c r="B238" s="681"/>
      <c r="C238" s="681"/>
      <c r="D238" s="577"/>
      <c r="E238" s="577"/>
      <c r="F238" s="577"/>
      <c r="G238" s="577"/>
      <c r="H238" s="577"/>
      <c r="I238" s="577"/>
      <c r="J238" s="513"/>
    </row>
    <row r="239" customHeight="1" spans="1:10">
      <c r="A239" s="680"/>
      <c r="B239" s="681"/>
      <c r="C239" s="681"/>
      <c r="D239" s="577"/>
      <c r="E239" s="577"/>
      <c r="F239" s="577"/>
      <c r="G239" s="577"/>
      <c r="H239" s="577"/>
      <c r="I239" s="577"/>
      <c r="J239" s="513"/>
    </row>
    <row r="240" customHeight="1" spans="1:10">
      <c r="A240" s="680"/>
      <c r="B240" s="681"/>
      <c r="C240" s="681"/>
      <c r="D240" s="577"/>
      <c r="E240" s="577"/>
      <c r="F240" s="577"/>
      <c r="G240" s="577"/>
      <c r="H240" s="577"/>
      <c r="I240" s="577"/>
      <c r="J240" s="513"/>
    </row>
    <row r="241" customHeight="1" spans="1:10">
      <c r="A241" s="680"/>
      <c r="B241" s="681"/>
      <c r="C241" s="681"/>
      <c r="D241" s="577"/>
      <c r="E241" s="577"/>
      <c r="F241" s="577"/>
      <c r="G241" s="577"/>
      <c r="H241" s="577"/>
      <c r="I241" s="577"/>
      <c r="J241" s="513"/>
    </row>
    <row r="242" customHeight="1" spans="1:10">
      <c r="A242" s="680"/>
      <c r="B242" s="681"/>
      <c r="C242" s="681"/>
      <c r="D242" s="577"/>
      <c r="E242" s="577"/>
      <c r="F242" s="577"/>
      <c r="G242" s="577"/>
      <c r="H242" s="577"/>
      <c r="I242" s="577"/>
      <c r="J242" s="513"/>
    </row>
    <row r="243" customHeight="1" spans="1:10">
      <c r="A243" s="680"/>
      <c r="B243" s="681"/>
      <c r="C243" s="681"/>
      <c r="D243" s="577"/>
      <c r="E243" s="577"/>
      <c r="F243" s="577"/>
      <c r="G243" s="577"/>
      <c r="H243" s="577"/>
      <c r="I243" s="577"/>
      <c r="J243" s="513"/>
    </row>
    <row r="244" customHeight="1" spans="1:10">
      <c r="A244" s="680"/>
      <c r="B244" s="681"/>
      <c r="C244" s="681"/>
      <c r="D244" s="577"/>
      <c r="E244" s="577"/>
      <c r="F244" s="577"/>
      <c r="G244" s="577"/>
      <c r="H244" s="577"/>
      <c r="I244" s="577"/>
      <c r="J244" s="513"/>
    </row>
    <row r="245" customHeight="1" spans="1:10">
      <c r="A245" s="680"/>
      <c r="B245" s="681"/>
      <c r="C245" s="681"/>
      <c r="D245" s="577"/>
      <c r="E245" s="577"/>
      <c r="F245" s="577"/>
      <c r="G245" s="577"/>
      <c r="H245" s="577"/>
      <c r="I245" s="577"/>
      <c r="J245" s="513"/>
    </row>
    <row r="246" customHeight="1" spans="1:10">
      <c r="A246" s="680"/>
      <c r="B246" s="681"/>
      <c r="C246" s="681"/>
      <c r="D246" s="577"/>
      <c r="E246" s="577"/>
      <c r="F246" s="577"/>
      <c r="G246" s="577"/>
      <c r="H246" s="577"/>
      <c r="I246" s="577"/>
      <c r="J246" s="513"/>
    </row>
    <row r="247" customHeight="1" spans="1:10">
      <c r="A247" s="680"/>
      <c r="B247" s="681"/>
      <c r="C247" s="681"/>
      <c r="D247" s="577"/>
      <c r="E247" s="577"/>
      <c r="F247" s="577"/>
      <c r="G247" s="577"/>
      <c r="H247" s="577"/>
      <c r="I247" s="577"/>
      <c r="J247" s="513"/>
    </row>
    <row r="248" customHeight="1" spans="1:10">
      <c r="A248" s="680"/>
      <c r="B248" s="681"/>
      <c r="C248" s="681"/>
      <c r="D248" s="577"/>
      <c r="E248" s="577"/>
      <c r="F248" s="577"/>
      <c r="G248" s="577"/>
      <c r="H248" s="577"/>
      <c r="I248" s="577"/>
      <c r="J248" s="513"/>
    </row>
    <row r="249" customHeight="1" spans="1:10">
      <c r="A249" s="680"/>
      <c r="B249" s="681"/>
      <c r="C249" s="681"/>
      <c r="D249" s="577"/>
      <c r="E249" s="577"/>
      <c r="F249" s="577"/>
      <c r="G249" s="577"/>
      <c r="H249" s="577"/>
      <c r="I249" s="577"/>
      <c r="J249" s="513"/>
    </row>
    <row r="250" customHeight="1" spans="1:10">
      <c r="A250" s="680"/>
      <c r="B250" s="681"/>
      <c r="C250" s="681"/>
      <c r="D250" s="577"/>
      <c r="E250" s="577"/>
      <c r="F250" s="577"/>
      <c r="G250" s="577"/>
      <c r="H250" s="577"/>
      <c r="I250" s="577"/>
      <c r="J250" s="513"/>
    </row>
    <row r="251" customHeight="1" spans="1:10">
      <c r="A251" s="680"/>
      <c r="B251" s="681"/>
      <c r="C251" s="681"/>
      <c r="D251" s="577"/>
      <c r="E251" s="577"/>
      <c r="F251" s="577"/>
      <c r="G251" s="577"/>
      <c r="H251" s="577"/>
      <c r="I251" s="577"/>
      <c r="J251" s="513"/>
    </row>
    <row r="252" customHeight="1" spans="1:10">
      <c r="A252" s="680"/>
      <c r="B252" s="681"/>
      <c r="C252" s="681"/>
      <c r="D252" s="577"/>
      <c r="E252" s="577"/>
      <c r="F252" s="577"/>
      <c r="G252" s="577"/>
      <c r="H252" s="577"/>
      <c r="I252" s="577"/>
      <c r="J252" s="513"/>
    </row>
    <row r="253" customHeight="1" spans="1:10">
      <c r="A253" s="680"/>
      <c r="B253" s="681"/>
      <c r="C253" s="681"/>
      <c r="D253" s="577"/>
      <c r="E253" s="577"/>
      <c r="F253" s="577"/>
      <c r="G253" s="577"/>
      <c r="H253" s="577"/>
      <c r="I253" s="577"/>
      <c r="J253" s="513"/>
    </row>
    <row r="254" customHeight="1" spans="1:10">
      <c r="A254" s="680"/>
      <c r="B254" s="681"/>
      <c r="C254" s="681"/>
      <c r="D254" s="577"/>
      <c r="E254" s="577"/>
      <c r="F254" s="577"/>
      <c r="G254" s="577"/>
      <c r="H254" s="577"/>
      <c r="I254" s="577"/>
      <c r="J254" s="513"/>
    </row>
    <row r="255" customHeight="1" spans="1:10">
      <c r="A255" s="680"/>
      <c r="B255" s="681"/>
      <c r="C255" s="681"/>
      <c r="D255" s="577"/>
      <c r="E255" s="577"/>
      <c r="F255" s="577"/>
      <c r="G255" s="577"/>
      <c r="H255" s="577"/>
      <c r="I255" s="577"/>
      <c r="J255" s="513"/>
    </row>
    <row r="256" customHeight="1" spans="1:10">
      <c r="A256" s="680"/>
      <c r="B256" s="681"/>
      <c r="C256" s="681"/>
      <c r="D256" s="577"/>
      <c r="E256" s="577"/>
      <c r="F256" s="577"/>
      <c r="G256" s="577"/>
      <c r="H256" s="577"/>
      <c r="I256" s="577"/>
      <c r="J256" s="513"/>
    </row>
    <row r="257" customHeight="1" spans="1:10">
      <c r="A257" s="680"/>
      <c r="B257" s="681"/>
      <c r="C257" s="681"/>
      <c r="D257" s="577"/>
      <c r="E257" s="577"/>
      <c r="F257" s="577"/>
      <c r="G257" s="577"/>
      <c r="H257" s="577"/>
      <c r="I257" s="577"/>
      <c r="J257" s="513"/>
    </row>
    <row r="258" customHeight="1" spans="1:10">
      <c r="A258" s="680"/>
      <c r="B258" s="681"/>
      <c r="C258" s="681"/>
      <c r="D258" s="577"/>
      <c r="E258" s="577"/>
      <c r="F258" s="577"/>
      <c r="G258" s="577"/>
      <c r="H258" s="577"/>
      <c r="I258" s="577"/>
      <c r="J258" s="513"/>
    </row>
    <row r="259" customHeight="1" spans="1:10">
      <c r="A259" s="680"/>
      <c r="B259" s="681"/>
      <c r="C259" s="681"/>
      <c r="D259" s="577"/>
      <c r="E259" s="577"/>
      <c r="F259" s="577"/>
      <c r="G259" s="577"/>
      <c r="H259" s="577"/>
      <c r="I259" s="577"/>
      <c r="J259" s="513"/>
    </row>
    <row r="260" customHeight="1" spans="1:10">
      <c r="A260" s="680"/>
      <c r="B260" s="681"/>
      <c r="C260" s="681"/>
      <c r="D260" s="577"/>
      <c r="E260" s="577"/>
      <c r="F260" s="577"/>
      <c r="G260" s="577"/>
      <c r="H260" s="577"/>
      <c r="I260" s="577"/>
      <c r="J260" s="513"/>
    </row>
    <row r="261" customHeight="1" spans="1:10">
      <c r="A261" s="680"/>
      <c r="B261" s="681"/>
      <c r="C261" s="681"/>
      <c r="D261" s="577"/>
      <c r="E261" s="577"/>
      <c r="F261" s="577"/>
      <c r="G261" s="577"/>
      <c r="H261" s="577"/>
      <c r="I261" s="577"/>
      <c r="J261" s="513"/>
    </row>
    <row r="262" customHeight="1" spans="1:10">
      <c r="A262" s="680"/>
      <c r="B262" s="681"/>
      <c r="C262" s="681"/>
      <c r="D262" s="577"/>
      <c r="E262" s="577"/>
      <c r="F262" s="577"/>
      <c r="G262" s="577"/>
      <c r="H262" s="577"/>
      <c r="I262" s="577"/>
      <c r="J262" s="513"/>
    </row>
    <row r="263" customHeight="1" spans="1:10">
      <c r="A263" s="680"/>
      <c r="B263" s="681"/>
      <c r="C263" s="681"/>
      <c r="D263" s="577"/>
      <c r="E263" s="577"/>
      <c r="F263" s="577"/>
      <c r="G263" s="577"/>
      <c r="H263" s="577"/>
      <c r="I263" s="577"/>
      <c r="J263" s="513"/>
    </row>
    <row r="264" customHeight="1" spans="1:10">
      <c r="A264" s="680"/>
      <c r="B264" s="681"/>
      <c r="C264" s="681"/>
      <c r="D264" s="577"/>
      <c r="E264" s="577"/>
      <c r="F264" s="577"/>
      <c r="G264" s="577"/>
      <c r="H264" s="577"/>
      <c r="I264" s="577"/>
      <c r="J264" s="513"/>
    </row>
    <row r="265" customHeight="1" spans="1:10">
      <c r="A265" s="680"/>
      <c r="B265" s="681"/>
      <c r="C265" s="681"/>
      <c r="D265" s="577"/>
      <c r="E265" s="577"/>
      <c r="F265" s="577"/>
      <c r="G265" s="577"/>
      <c r="H265" s="577"/>
      <c r="I265" s="577"/>
      <c r="J265" s="513"/>
    </row>
    <row r="266" customHeight="1" spans="1:10">
      <c r="A266" s="680"/>
      <c r="B266" s="681"/>
      <c r="C266" s="681"/>
      <c r="D266" s="577"/>
      <c r="E266" s="577"/>
      <c r="F266" s="577"/>
      <c r="G266" s="577"/>
      <c r="H266" s="577"/>
      <c r="I266" s="577"/>
      <c r="J266" s="513"/>
    </row>
    <row r="267" customHeight="1" spans="1:10">
      <c r="A267" s="680"/>
      <c r="B267" s="681"/>
      <c r="C267" s="681"/>
      <c r="D267" s="577"/>
      <c r="E267" s="577"/>
      <c r="F267" s="577"/>
      <c r="G267" s="577"/>
      <c r="H267" s="577"/>
      <c r="I267" s="577"/>
      <c r="J267" s="513"/>
    </row>
    <row r="268" customHeight="1" spans="1:10">
      <c r="A268" s="680"/>
      <c r="B268" s="681"/>
      <c r="C268" s="681"/>
      <c r="D268" s="577"/>
      <c r="E268" s="577"/>
      <c r="F268" s="577"/>
      <c r="G268" s="577"/>
      <c r="H268" s="577"/>
      <c r="I268" s="577"/>
      <c r="J268" s="513"/>
    </row>
    <row r="269" customHeight="1" spans="1:10">
      <c r="A269" s="680"/>
      <c r="B269" s="681"/>
      <c r="C269" s="681"/>
      <c r="D269" s="577"/>
      <c r="E269" s="577"/>
      <c r="F269" s="577"/>
      <c r="G269" s="577"/>
      <c r="H269" s="577"/>
      <c r="I269" s="577"/>
      <c r="J269" s="513"/>
    </row>
    <row r="270" customHeight="1" spans="1:10">
      <c r="A270" s="680"/>
      <c r="B270" s="681"/>
      <c r="C270" s="681"/>
      <c r="D270" s="577"/>
      <c r="E270" s="577"/>
      <c r="F270" s="577"/>
      <c r="G270" s="577"/>
      <c r="H270" s="577"/>
      <c r="I270" s="577"/>
      <c r="J270" s="513"/>
    </row>
    <row r="271" customHeight="1" spans="1:10">
      <c r="A271" s="680"/>
      <c r="B271" s="681"/>
      <c r="C271" s="681"/>
      <c r="D271" s="577"/>
      <c r="E271" s="577"/>
      <c r="F271" s="577"/>
      <c r="G271" s="577"/>
      <c r="H271" s="577"/>
      <c r="I271" s="577"/>
      <c r="J271" s="513"/>
    </row>
    <row r="272" customHeight="1" spans="1:10">
      <c r="A272" s="680"/>
      <c r="B272" s="681"/>
      <c r="C272" s="681"/>
      <c r="D272" s="577"/>
      <c r="E272" s="577"/>
      <c r="F272" s="577"/>
      <c r="G272" s="577"/>
      <c r="H272" s="577"/>
      <c r="I272" s="577"/>
      <c r="J272" s="513"/>
    </row>
    <row r="273" customHeight="1" spans="1:10">
      <c r="A273" s="680"/>
      <c r="B273" s="681"/>
      <c r="C273" s="681"/>
      <c r="D273" s="577"/>
      <c r="E273" s="577"/>
      <c r="F273" s="577"/>
      <c r="G273" s="577"/>
      <c r="H273" s="577"/>
      <c r="I273" s="577"/>
      <c r="J273" s="513"/>
    </row>
    <row r="274" customHeight="1" spans="1:10">
      <c r="A274" s="680"/>
      <c r="B274" s="681"/>
      <c r="C274" s="681"/>
      <c r="D274" s="577"/>
      <c r="E274" s="577"/>
      <c r="F274" s="577"/>
      <c r="G274" s="577"/>
      <c r="H274" s="577"/>
      <c r="I274" s="577"/>
      <c r="J274" s="513"/>
    </row>
    <row r="275" customHeight="1" spans="1:10">
      <c r="A275" s="680"/>
      <c r="B275" s="681"/>
      <c r="C275" s="681"/>
      <c r="D275" s="577"/>
      <c r="E275" s="577"/>
      <c r="F275" s="577"/>
      <c r="G275" s="577"/>
      <c r="H275" s="577"/>
      <c r="I275" s="577"/>
      <c r="J275" s="513"/>
    </row>
    <row r="276" customHeight="1" spans="1:10">
      <c r="A276" s="680"/>
      <c r="B276" s="681"/>
      <c r="C276" s="681"/>
      <c r="D276" s="577"/>
      <c r="E276" s="577"/>
      <c r="F276" s="577"/>
      <c r="G276" s="577"/>
      <c r="H276" s="577"/>
      <c r="I276" s="577"/>
      <c r="J276" s="513"/>
    </row>
    <row r="277" customHeight="1" spans="1:10">
      <c r="A277" s="680"/>
      <c r="B277" s="681"/>
      <c r="C277" s="681"/>
      <c r="D277" s="577"/>
      <c r="E277" s="577"/>
      <c r="F277" s="577"/>
      <c r="G277" s="577"/>
      <c r="H277" s="577"/>
      <c r="I277" s="577"/>
      <c r="J277" s="513"/>
    </row>
    <row r="278" customHeight="1" spans="1:10">
      <c r="A278" s="680"/>
      <c r="B278" s="681"/>
      <c r="C278" s="681"/>
      <c r="D278" s="577"/>
      <c r="E278" s="577"/>
      <c r="F278" s="577"/>
      <c r="G278" s="577"/>
      <c r="H278" s="577"/>
      <c r="I278" s="577"/>
      <c r="J278" s="513"/>
    </row>
    <row r="279" customHeight="1" spans="1:10">
      <c r="A279" s="680"/>
      <c r="B279" s="681"/>
      <c r="C279" s="681"/>
      <c r="D279" s="577"/>
      <c r="E279" s="577"/>
      <c r="F279" s="577"/>
      <c r="G279" s="577"/>
      <c r="H279" s="577"/>
      <c r="I279" s="577"/>
      <c r="J279" s="513"/>
    </row>
    <row r="280" customHeight="1" spans="1:10">
      <c r="A280" s="680"/>
      <c r="B280" s="681"/>
      <c r="C280" s="681"/>
      <c r="D280" s="577"/>
      <c r="E280" s="577"/>
      <c r="F280" s="577"/>
      <c r="G280" s="577"/>
      <c r="H280" s="577"/>
      <c r="I280" s="577"/>
      <c r="J280" s="513"/>
    </row>
    <row r="281" customHeight="1" spans="1:10">
      <c r="A281" s="680"/>
      <c r="B281" s="681"/>
      <c r="C281" s="681"/>
      <c r="D281" s="577"/>
      <c r="E281" s="577"/>
      <c r="F281" s="577"/>
      <c r="G281" s="577"/>
      <c r="H281" s="577"/>
      <c r="I281" s="577"/>
      <c r="J281" s="513"/>
    </row>
    <row r="282" customHeight="1" spans="1:10">
      <c r="A282" s="680"/>
      <c r="B282" s="681"/>
      <c r="C282" s="681"/>
      <c r="D282" s="577"/>
      <c r="E282" s="577"/>
      <c r="F282" s="577"/>
      <c r="G282" s="577"/>
      <c r="H282" s="577"/>
      <c r="I282" s="577"/>
      <c r="J282" s="513"/>
    </row>
    <row r="283" customHeight="1" spans="1:10">
      <c r="A283" s="680"/>
      <c r="B283" s="681"/>
      <c r="C283" s="681"/>
      <c r="D283" s="577"/>
      <c r="E283" s="577"/>
      <c r="F283" s="577"/>
      <c r="G283" s="577"/>
      <c r="H283" s="577"/>
      <c r="I283" s="577"/>
      <c r="J283" s="513"/>
    </row>
    <row r="284" customHeight="1" spans="1:10">
      <c r="A284" s="680"/>
      <c r="B284" s="681"/>
      <c r="C284" s="681"/>
      <c r="D284" s="577"/>
      <c r="E284" s="577"/>
      <c r="F284" s="577"/>
      <c r="G284" s="577"/>
      <c r="H284" s="577"/>
      <c r="I284" s="577"/>
      <c r="J284" s="513"/>
    </row>
    <row r="285" customHeight="1" spans="1:10">
      <c r="A285" s="680"/>
      <c r="B285" s="681"/>
      <c r="C285" s="681"/>
      <c r="D285" s="577"/>
      <c r="E285" s="577"/>
      <c r="F285" s="577"/>
      <c r="G285" s="577"/>
      <c r="H285" s="577"/>
      <c r="I285" s="577"/>
      <c r="J285" s="513"/>
    </row>
    <row r="286" customHeight="1" spans="1:10">
      <c r="A286" s="680"/>
      <c r="B286" s="681"/>
      <c r="C286" s="681"/>
      <c r="D286" s="577"/>
      <c r="E286" s="577"/>
      <c r="F286" s="577"/>
      <c r="G286" s="577"/>
      <c r="H286" s="577"/>
      <c r="I286" s="577"/>
      <c r="J286" s="513"/>
    </row>
    <row r="287" customHeight="1" spans="1:10">
      <c r="A287" s="680"/>
      <c r="B287" s="681"/>
      <c r="C287" s="681"/>
      <c r="D287" s="577"/>
      <c r="E287" s="577"/>
      <c r="F287" s="577"/>
      <c r="G287" s="577"/>
      <c r="H287" s="577"/>
      <c r="I287" s="577"/>
      <c r="J287" s="513"/>
    </row>
    <row r="288" customHeight="1" spans="1:10">
      <c r="A288" s="680"/>
      <c r="B288" s="681"/>
      <c r="C288" s="681"/>
      <c r="D288" s="577"/>
      <c r="E288" s="577"/>
      <c r="F288" s="577"/>
      <c r="G288" s="577"/>
      <c r="H288" s="577"/>
      <c r="I288" s="577"/>
      <c r="J288" s="513"/>
    </row>
    <row r="289" customHeight="1" spans="1:10">
      <c r="A289" s="680"/>
      <c r="B289" s="681"/>
      <c r="C289" s="681"/>
      <c r="D289" s="577"/>
      <c r="E289" s="577"/>
      <c r="F289" s="577"/>
      <c r="G289" s="577"/>
      <c r="H289" s="577"/>
      <c r="I289" s="577"/>
      <c r="J289" s="513"/>
    </row>
    <row r="290" customHeight="1" spans="1:10">
      <c r="A290" s="680"/>
      <c r="B290" s="681"/>
      <c r="C290" s="681"/>
      <c r="D290" s="577"/>
      <c r="E290" s="577"/>
      <c r="F290" s="577"/>
      <c r="G290" s="577"/>
      <c r="H290" s="577"/>
      <c r="I290" s="577"/>
      <c r="J290" s="513"/>
    </row>
    <row r="291" customHeight="1" spans="1:10">
      <c r="A291" s="680"/>
      <c r="B291" s="681"/>
      <c r="C291" s="681"/>
      <c r="D291" s="577"/>
      <c r="E291" s="577"/>
      <c r="F291" s="577"/>
      <c r="G291" s="577"/>
      <c r="H291" s="577"/>
      <c r="I291" s="577"/>
      <c r="J291" s="513"/>
    </row>
    <row r="292" customHeight="1" spans="1:10">
      <c r="A292" s="680"/>
      <c r="B292" s="681"/>
      <c r="C292" s="681"/>
      <c r="D292" s="577"/>
      <c r="E292" s="577"/>
      <c r="F292" s="577"/>
      <c r="G292" s="577"/>
      <c r="H292" s="577"/>
      <c r="I292" s="577"/>
      <c r="J292" s="513"/>
    </row>
    <row r="293" customHeight="1" spans="1:10">
      <c r="A293" s="680"/>
      <c r="B293" s="681"/>
      <c r="C293" s="681"/>
      <c r="D293" s="577"/>
      <c r="E293" s="577"/>
      <c r="F293" s="577"/>
      <c r="G293" s="577"/>
      <c r="H293" s="577"/>
      <c r="I293" s="577"/>
      <c r="J293" s="513"/>
    </row>
    <row r="294" customHeight="1" spans="1:10">
      <c r="A294" s="680"/>
      <c r="B294" s="681"/>
      <c r="C294" s="681"/>
      <c r="D294" s="577"/>
      <c r="E294" s="577"/>
      <c r="F294" s="577"/>
      <c r="G294" s="577"/>
      <c r="H294" s="577"/>
      <c r="I294" s="577"/>
      <c r="J294" s="513"/>
    </row>
    <row r="295" customHeight="1" spans="1:10">
      <c r="A295" s="680"/>
      <c r="B295" s="681"/>
      <c r="C295" s="681"/>
      <c r="D295" s="577"/>
      <c r="E295" s="577"/>
      <c r="F295" s="577"/>
      <c r="G295" s="577"/>
      <c r="H295" s="577"/>
      <c r="I295" s="577"/>
      <c r="J295" s="513"/>
    </row>
    <row r="296" customHeight="1" spans="1:10">
      <c r="A296" s="680"/>
      <c r="B296" s="681"/>
      <c r="C296" s="681"/>
      <c r="D296" s="577"/>
      <c r="E296" s="577"/>
      <c r="F296" s="577"/>
      <c r="G296" s="577"/>
      <c r="H296" s="577"/>
      <c r="I296" s="577"/>
      <c r="J296" s="513"/>
    </row>
    <row r="297" customHeight="1" spans="1:10">
      <c r="A297" s="680"/>
      <c r="B297" s="681"/>
      <c r="C297" s="681"/>
      <c r="D297" s="577"/>
      <c r="E297" s="577"/>
      <c r="F297" s="577"/>
      <c r="G297" s="577"/>
      <c r="H297" s="577"/>
      <c r="I297" s="577"/>
      <c r="J297" s="513"/>
    </row>
    <row r="298" customHeight="1" spans="1:10">
      <c r="A298" s="680"/>
      <c r="B298" s="681"/>
      <c r="C298" s="681"/>
      <c r="D298" s="577"/>
      <c r="E298" s="577"/>
      <c r="F298" s="577"/>
      <c r="G298" s="577"/>
      <c r="H298" s="577"/>
      <c r="I298" s="577"/>
      <c r="J298" s="513"/>
    </row>
    <row r="299" customHeight="1" spans="1:10">
      <c r="A299" s="680"/>
      <c r="B299" s="681"/>
      <c r="C299" s="681"/>
      <c r="D299" s="577"/>
      <c r="E299" s="577"/>
      <c r="F299" s="577"/>
      <c r="G299" s="577"/>
      <c r="H299" s="577"/>
      <c r="I299" s="577"/>
      <c r="J299" s="513"/>
    </row>
    <row r="300" customHeight="1" spans="1:10">
      <c r="A300" s="680"/>
      <c r="B300" s="681"/>
      <c r="C300" s="681"/>
      <c r="D300" s="577"/>
      <c r="E300" s="577"/>
      <c r="F300" s="577"/>
      <c r="G300" s="577"/>
      <c r="H300" s="577"/>
      <c r="I300" s="577"/>
      <c r="J300" s="513"/>
    </row>
    <row r="301" customHeight="1" spans="1:10">
      <c r="A301" s="680"/>
      <c r="B301" s="681"/>
      <c r="C301" s="681"/>
      <c r="D301" s="577"/>
      <c r="E301" s="577"/>
      <c r="F301" s="577"/>
      <c r="G301" s="577"/>
      <c r="H301" s="577"/>
      <c r="I301" s="577"/>
      <c r="J301" s="513"/>
    </row>
    <row r="302" customHeight="1" spans="1:10">
      <c r="A302" s="680"/>
      <c r="B302" s="681"/>
      <c r="C302" s="681"/>
      <c r="D302" s="577"/>
      <c r="E302" s="577"/>
      <c r="F302" s="577"/>
      <c r="G302" s="577"/>
      <c r="H302" s="577"/>
      <c r="I302" s="577"/>
      <c r="J302" s="513"/>
    </row>
    <row r="303" customHeight="1" spans="1:10">
      <c r="A303" s="680"/>
      <c r="B303" s="681"/>
      <c r="C303" s="681"/>
      <c r="D303" s="577"/>
      <c r="E303" s="577"/>
      <c r="F303" s="577"/>
      <c r="G303" s="577"/>
      <c r="H303" s="577"/>
      <c r="I303" s="577"/>
      <c r="J303" s="513"/>
    </row>
    <row r="304" customHeight="1" spans="1:10">
      <c r="A304" s="680"/>
      <c r="B304" s="681"/>
      <c r="C304" s="681"/>
      <c r="D304" s="577"/>
      <c r="E304" s="577"/>
      <c r="F304" s="577"/>
      <c r="G304" s="577"/>
      <c r="H304" s="577"/>
      <c r="I304" s="577"/>
      <c r="J304" s="513"/>
    </row>
    <row r="305" customHeight="1" spans="1:10">
      <c r="A305" s="680"/>
      <c r="B305" s="681"/>
      <c r="C305" s="681"/>
      <c r="D305" s="577"/>
      <c r="E305" s="577"/>
      <c r="F305" s="577"/>
      <c r="G305" s="577"/>
      <c r="H305" s="577"/>
      <c r="I305" s="577"/>
      <c r="J305" s="513"/>
    </row>
    <row r="306" customHeight="1" spans="1:10">
      <c r="A306" s="680"/>
      <c r="B306" s="681"/>
      <c r="C306" s="681"/>
      <c r="D306" s="577"/>
      <c r="E306" s="577"/>
      <c r="F306" s="577"/>
      <c r="G306" s="577"/>
      <c r="H306" s="577"/>
      <c r="I306" s="577"/>
      <c r="J306" s="513"/>
    </row>
    <row r="307" customHeight="1" spans="1:10">
      <c r="A307" s="680"/>
      <c r="B307" s="681"/>
      <c r="C307" s="681"/>
      <c r="D307" s="577"/>
      <c r="E307" s="577"/>
      <c r="F307" s="577"/>
      <c r="G307" s="577"/>
      <c r="H307" s="577"/>
      <c r="I307" s="577"/>
      <c r="J307" s="513"/>
    </row>
    <row r="308" customHeight="1" spans="1:10">
      <c r="A308" s="680"/>
      <c r="B308" s="681"/>
      <c r="C308" s="681"/>
      <c r="D308" s="577"/>
      <c r="E308" s="577"/>
      <c r="F308" s="577"/>
      <c r="G308" s="577"/>
      <c r="H308" s="577"/>
      <c r="I308" s="577"/>
      <c r="J308" s="513"/>
    </row>
    <row r="309" customHeight="1" spans="1:10">
      <c r="A309" s="680"/>
      <c r="B309" s="681"/>
      <c r="C309" s="681"/>
      <c r="D309" s="577"/>
      <c r="E309" s="577"/>
      <c r="F309" s="577"/>
      <c r="G309" s="577"/>
      <c r="H309" s="577"/>
      <c r="I309" s="577"/>
      <c r="J309" s="513"/>
    </row>
    <row r="310" customHeight="1" spans="1:10">
      <c r="A310" s="680"/>
      <c r="B310" s="681"/>
      <c r="C310" s="681"/>
      <c r="D310" s="577"/>
      <c r="E310" s="577"/>
      <c r="F310" s="577"/>
      <c r="G310" s="577"/>
      <c r="H310" s="577"/>
      <c r="I310" s="577"/>
      <c r="J310" s="513"/>
    </row>
    <row r="311" customHeight="1" spans="1:10">
      <c r="A311" s="680"/>
      <c r="B311" s="681"/>
      <c r="C311" s="681"/>
      <c r="D311" s="577"/>
      <c r="E311" s="577"/>
      <c r="F311" s="577"/>
      <c r="G311" s="577"/>
      <c r="H311" s="577"/>
      <c r="I311" s="577"/>
      <c r="J311" s="513"/>
    </row>
    <row r="312" customHeight="1" spans="1:10">
      <c r="A312" s="680"/>
      <c r="B312" s="681"/>
      <c r="C312" s="681"/>
      <c r="D312" s="577"/>
      <c r="E312" s="577"/>
      <c r="F312" s="577"/>
      <c r="G312" s="577"/>
      <c r="H312" s="577"/>
      <c r="I312" s="577"/>
      <c r="J312" s="513"/>
    </row>
    <row r="313" customHeight="1" spans="1:10">
      <c r="A313" s="680"/>
      <c r="B313" s="681"/>
      <c r="C313" s="681"/>
      <c r="D313" s="577"/>
      <c r="E313" s="577"/>
      <c r="F313" s="577"/>
      <c r="G313" s="577"/>
      <c r="H313" s="577"/>
      <c r="I313" s="577"/>
      <c r="J313" s="513"/>
    </row>
    <row r="314" customHeight="1" spans="1:10">
      <c r="A314" s="680"/>
      <c r="B314" s="681"/>
      <c r="C314" s="681"/>
      <c r="D314" s="577"/>
      <c r="E314" s="577"/>
      <c r="F314" s="577"/>
      <c r="G314" s="577"/>
      <c r="H314" s="577"/>
      <c r="I314" s="577"/>
      <c r="J314" s="513"/>
    </row>
    <row r="315" customHeight="1" spans="1:10">
      <c r="A315" s="680"/>
      <c r="B315" s="681"/>
      <c r="C315" s="681"/>
      <c r="D315" s="577"/>
      <c r="E315" s="577"/>
      <c r="F315" s="577"/>
      <c r="G315" s="577"/>
      <c r="H315" s="577"/>
      <c r="I315" s="577"/>
      <c r="J315" s="513"/>
    </row>
    <row r="316" customHeight="1" spans="1:10">
      <c r="A316" s="680"/>
      <c r="B316" s="681"/>
      <c r="C316" s="681"/>
      <c r="D316" s="577"/>
      <c r="E316" s="577"/>
      <c r="F316" s="577"/>
      <c r="G316" s="577"/>
      <c r="H316" s="577"/>
      <c r="I316" s="577"/>
      <c r="J316" s="513"/>
    </row>
    <row r="317" customHeight="1" spans="1:10">
      <c r="A317" s="680"/>
      <c r="B317" s="681"/>
      <c r="C317" s="681"/>
      <c r="D317" s="577"/>
      <c r="E317" s="577"/>
      <c r="F317" s="577"/>
      <c r="G317" s="577"/>
      <c r="H317" s="577"/>
      <c r="I317" s="577"/>
      <c r="J317" s="513"/>
    </row>
    <row r="318" customHeight="1" spans="1:10">
      <c r="A318" s="680"/>
      <c r="B318" s="681"/>
      <c r="C318" s="681"/>
      <c r="D318" s="577"/>
      <c r="E318" s="577"/>
      <c r="F318" s="577"/>
      <c r="G318" s="577"/>
      <c r="H318" s="577"/>
      <c r="I318" s="577"/>
      <c r="J318" s="513"/>
    </row>
    <row r="319" customHeight="1" spans="1:10">
      <c r="A319" s="680"/>
      <c r="B319" s="681"/>
      <c r="C319" s="681"/>
      <c r="D319" s="577"/>
      <c r="E319" s="577"/>
      <c r="F319" s="577"/>
      <c r="G319" s="577"/>
      <c r="H319" s="577"/>
      <c r="I319" s="577"/>
      <c r="J319" s="513"/>
    </row>
    <row r="320" customHeight="1" spans="1:10">
      <c r="A320" s="680"/>
      <c r="B320" s="681"/>
      <c r="C320" s="681"/>
      <c r="D320" s="577"/>
      <c r="E320" s="577"/>
      <c r="F320" s="577"/>
      <c r="G320" s="577"/>
      <c r="H320" s="577"/>
      <c r="I320" s="577"/>
      <c r="J320" s="513"/>
    </row>
    <row r="321" customHeight="1" spans="1:10">
      <c r="A321" s="680"/>
      <c r="B321" s="681"/>
      <c r="C321" s="681"/>
      <c r="D321" s="577"/>
      <c r="E321" s="577"/>
      <c r="F321" s="577"/>
      <c r="G321" s="577"/>
      <c r="H321" s="577"/>
      <c r="I321" s="577"/>
      <c r="J321" s="513"/>
    </row>
    <row r="322" customHeight="1" spans="1:10">
      <c r="A322" s="680"/>
      <c r="B322" s="681"/>
      <c r="C322" s="681"/>
      <c r="D322" s="577"/>
      <c r="E322" s="577"/>
      <c r="F322" s="577"/>
      <c r="G322" s="577"/>
      <c r="H322" s="577"/>
      <c r="I322" s="577"/>
      <c r="J322" s="513"/>
    </row>
    <row r="323" customHeight="1" spans="1:10">
      <c r="A323" s="680"/>
      <c r="B323" s="681"/>
      <c r="C323" s="681"/>
      <c r="D323" s="577"/>
      <c r="E323" s="577"/>
      <c r="F323" s="577"/>
      <c r="G323" s="577"/>
      <c r="H323" s="577"/>
      <c r="I323" s="577"/>
      <c r="J323" s="513"/>
    </row>
    <row r="324" customHeight="1" spans="1:10">
      <c r="A324" s="680"/>
      <c r="B324" s="681"/>
      <c r="C324" s="681"/>
      <c r="D324" s="577"/>
      <c r="E324" s="577"/>
      <c r="F324" s="577"/>
      <c r="G324" s="577"/>
      <c r="H324" s="577"/>
      <c r="I324" s="577"/>
      <c r="J324" s="513"/>
    </row>
    <row r="325" customHeight="1" spans="1:10">
      <c r="A325" s="680"/>
      <c r="B325" s="681"/>
      <c r="C325" s="681"/>
      <c r="D325" s="577"/>
      <c r="E325" s="577"/>
      <c r="F325" s="577"/>
      <c r="G325" s="577"/>
      <c r="H325" s="577"/>
      <c r="I325" s="577"/>
      <c r="J325" s="513"/>
    </row>
    <row r="326" customHeight="1" spans="1:10">
      <c r="A326" s="680"/>
      <c r="B326" s="681"/>
      <c r="C326" s="681"/>
      <c r="D326" s="577"/>
      <c r="E326" s="577"/>
      <c r="F326" s="577"/>
      <c r="G326" s="577"/>
      <c r="H326" s="577"/>
      <c r="I326" s="577"/>
      <c r="J326" s="513"/>
    </row>
    <row r="327" customHeight="1" spans="1:10">
      <c r="A327" s="680"/>
      <c r="B327" s="681"/>
      <c r="C327" s="681"/>
      <c r="D327" s="577"/>
      <c r="E327" s="577"/>
      <c r="F327" s="577"/>
      <c r="G327" s="577"/>
      <c r="H327" s="577"/>
      <c r="I327" s="577"/>
      <c r="J327" s="513"/>
    </row>
    <row r="328" customHeight="1" spans="1:10">
      <c r="A328" s="680"/>
      <c r="B328" s="681"/>
      <c r="C328" s="681"/>
      <c r="D328" s="577"/>
      <c r="E328" s="577"/>
      <c r="F328" s="577"/>
      <c r="G328" s="577"/>
      <c r="H328" s="577"/>
      <c r="I328" s="577"/>
      <c r="J328" s="513"/>
    </row>
    <row r="329" customHeight="1" spans="1:10">
      <c r="A329" s="680"/>
      <c r="B329" s="681"/>
      <c r="C329" s="681"/>
      <c r="D329" s="577"/>
      <c r="E329" s="577"/>
      <c r="F329" s="577"/>
      <c r="G329" s="577"/>
      <c r="H329" s="577"/>
      <c r="I329" s="577"/>
      <c r="J329" s="513"/>
    </row>
    <row r="330" customHeight="1" spans="1:10">
      <c r="A330" s="680"/>
      <c r="B330" s="681"/>
      <c r="C330" s="681"/>
      <c r="D330" s="577"/>
      <c r="E330" s="577"/>
      <c r="F330" s="577"/>
      <c r="G330" s="577"/>
      <c r="H330" s="577"/>
      <c r="I330" s="577"/>
      <c r="J330" s="513"/>
    </row>
    <row r="331" customHeight="1" spans="1:10">
      <c r="A331" s="680"/>
      <c r="B331" s="681"/>
      <c r="C331" s="681"/>
      <c r="D331" s="577"/>
      <c r="E331" s="577"/>
      <c r="F331" s="577"/>
      <c r="G331" s="577"/>
      <c r="H331" s="577"/>
      <c r="I331" s="577"/>
      <c r="J331" s="513"/>
    </row>
    <row r="332" customHeight="1" spans="1:10">
      <c r="A332" s="680"/>
      <c r="B332" s="681"/>
      <c r="C332" s="681"/>
      <c r="D332" s="577"/>
      <c r="E332" s="577"/>
      <c r="F332" s="577"/>
      <c r="G332" s="577"/>
      <c r="H332" s="577"/>
      <c r="I332" s="577"/>
      <c r="J332" s="513"/>
    </row>
    <row r="333" customHeight="1" spans="1:10">
      <c r="A333" s="680"/>
      <c r="B333" s="681"/>
      <c r="C333" s="681"/>
      <c r="D333" s="577"/>
      <c r="E333" s="577"/>
      <c r="F333" s="577"/>
      <c r="G333" s="577"/>
      <c r="H333" s="577"/>
      <c r="I333" s="577"/>
      <c r="J333" s="513"/>
    </row>
    <row r="334" customHeight="1" spans="1:10">
      <c r="A334" s="680"/>
      <c r="B334" s="681"/>
      <c r="C334" s="681"/>
      <c r="D334" s="577"/>
      <c r="E334" s="577"/>
      <c r="F334" s="577"/>
      <c r="G334" s="577"/>
      <c r="H334" s="577"/>
      <c r="I334" s="577"/>
      <c r="J334" s="513"/>
    </row>
    <row r="335" customHeight="1" spans="1:10">
      <c r="A335" s="680"/>
      <c r="B335" s="681"/>
      <c r="C335" s="681"/>
      <c r="D335" s="577"/>
      <c r="E335" s="577"/>
      <c r="F335" s="577"/>
      <c r="G335" s="577"/>
      <c r="H335" s="577"/>
      <c r="I335" s="577"/>
      <c r="J335" s="513"/>
    </row>
    <row r="336" customHeight="1" spans="1:10">
      <c r="A336" s="680"/>
      <c r="B336" s="681"/>
      <c r="C336" s="681"/>
      <c r="D336" s="577"/>
      <c r="E336" s="577"/>
      <c r="F336" s="577"/>
      <c r="G336" s="577"/>
      <c r="H336" s="577"/>
      <c r="I336" s="577"/>
      <c r="J336" s="513"/>
    </row>
    <row r="337" customHeight="1" spans="1:10">
      <c r="A337" s="680"/>
      <c r="B337" s="681"/>
      <c r="C337" s="681"/>
      <c r="D337" s="577"/>
      <c r="E337" s="577"/>
      <c r="F337" s="577"/>
      <c r="G337" s="577"/>
      <c r="H337" s="577"/>
      <c r="I337" s="577"/>
      <c r="J337" s="513"/>
    </row>
    <row r="338" customHeight="1" spans="1:10">
      <c r="A338" s="680"/>
      <c r="B338" s="681"/>
      <c r="C338" s="681"/>
      <c r="D338" s="577"/>
      <c r="E338" s="577"/>
      <c r="F338" s="577"/>
      <c r="G338" s="577"/>
      <c r="H338" s="577"/>
      <c r="I338" s="577"/>
      <c r="J338" s="513"/>
    </row>
    <row r="339" customHeight="1" spans="1:10">
      <c r="A339" s="680"/>
      <c r="B339" s="681"/>
      <c r="C339" s="681"/>
      <c r="D339" s="577"/>
      <c r="E339" s="577"/>
      <c r="F339" s="577"/>
      <c r="G339" s="577"/>
      <c r="H339" s="577"/>
      <c r="I339" s="577"/>
      <c r="J339" s="513"/>
    </row>
    <row r="340" customHeight="1" spans="1:10">
      <c r="A340" s="680"/>
      <c r="B340" s="681"/>
      <c r="C340" s="681"/>
      <c r="D340" s="577"/>
      <c r="E340" s="577"/>
      <c r="F340" s="577"/>
      <c r="G340" s="577"/>
      <c r="H340" s="577"/>
      <c r="I340" s="577"/>
      <c r="J340" s="513"/>
    </row>
    <row r="341" customHeight="1" spans="1:10">
      <c r="A341" s="680"/>
      <c r="B341" s="681"/>
      <c r="C341" s="681"/>
      <c r="D341" s="577"/>
      <c r="E341" s="577"/>
      <c r="F341" s="577"/>
      <c r="G341" s="577"/>
      <c r="H341" s="577"/>
      <c r="I341" s="577"/>
      <c r="J341" s="513"/>
    </row>
    <row r="342" customHeight="1" spans="1:10">
      <c r="A342" s="680"/>
      <c r="B342" s="681"/>
      <c r="C342" s="681"/>
      <c r="D342" s="577"/>
      <c r="E342" s="577"/>
      <c r="F342" s="577"/>
      <c r="G342" s="577"/>
      <c r="H342" s="577"/>
      <c r="I342" s="577"/>
      <c r="J342" s="513"/>
    </row>
    <row r="343" customHeight="1" spans="1:10">
      <c r="A343" s="680"/>
      <c r="B343" s="681"/>
      <c r="C343" s="681"/>
      <c r="D343" s="577"/>
      <c r="E343" s="577"/>
      <c r="F343" s="577"/>
      <c r="G343" s="577"/>
      <c r="H343" s="577"/>
      <c r="I343" s="577"/>
      <c r="J343" s="513"/>
    </row>
    <row r="344" customHeight="1" spans="1:10">
      <c r="A344" s="680"/>
      <c r="B344" s="681"/>
      <c r="C344" s="681"/>
      <c r="D344" s="577"/>
      <c r="E344" s="577"/>
      <c r="F344" s="577"/>
      <c r="G344" s="577"/>
      <c r="H344" s="577"/>
      <c r="I344" s="577"/>
      <c r="J344" s="513"/>
    </row>
    <row r="345" customHeight="1" spans="1:10">
      <c r="A345" s="680"/>
      <c r="B345" s="681"/>
      <c r="C345" s="681"/>
      <c r="D345" s="577"/>
      <c r="E345" s="577"/>
      <c r="F345" s="577"/>
      <c r="G345" s="577"/>
      <c r="H345" s="577"/>
      <c r="I345" s="577"/>
      <c r="J345" s="513"/>
    </row>
    <row r="346" customHeight="1" spans="1:10">
      <c r="A346" s="680"/>
      <c r="B346" s="681"/>
      <c r="C346" s="681"/>
      <c r="D346" s="577"/>
      <c r="E346" s="577"/>
      <c r="F346" s="577"/>
      <c r="G346" s="577"/>
      <c r="H346" s="577"/>
      <c r="I346" s="577"/>
      <c r="J346" s="513"/>
    </row>
    <row r="347" customHeight="1" spans="1:10">
      <c r="A347" s="680"/>
      <c r="B347" s="681"/>
      <c r="C347" s="681"/>
      <c r="D347" s="577"/>
      <c r="E347" s="577"/>
      <c r="F347" s="577"/>
      <c r="G347" s="577"/>
      <c r="H347" s="577"/>
      <c r="I347" s="577"/>
      <c r="J347" s="513"/>
    </row>
    <row r="348" customHeight="1" spans="1:10">
      <c r="A348" s="680"/>
      <c r="B348" s="681"/>
      <c r="C348" s="681"/>
      <c r="D348" s="577"/>
      <c r="E348" s="577"/>
      <c r="F348" s="577"/>
      <c r="G348" s="577"/>
      <c r="H348" s="577"/>
      <c r="I348" s="577"/>
      <c r="J348" s="513"/>
    </row>
    <row r="349" customHeight="1" spans="1:10">
      <c r="A349" s="680"/>
      <c r="B349" s="681"/>
      <c r="C349" s="681"/>
      <c r="D349" s="577"/>
      <c r="E349" s="577"/>
      <c r="F349" s="577"/>
      <c r="G349" s="577"/>
      <c r="H349" s="577"/>
      <c r="I349" s="577"/>
      <c r="J349" s="513"/>
    </row>
    <row r="350" customHeight="1" spans="1:10">
      <c r="A350" s="680"/>
      <c r="B350" s="681"/>
      <c r="C350" s="681"/>
      <c r="D350" s="577"/>
      <c r="E350" s="577"/>
      <c r="F350" s="577"/>
      <c r="G350" s="577"/>
      <c r="H350" s="577"/>
      <c r="I350" s="577"/>
      <c r="J350" s="513"/>
    </row>
    <row r="351" customHeight="1" spans="1:10">
      <c r="A351" s="680"/>
      <c r="B351" s="681"/>
      <c r="C351" s="681"/>
      <c r="D351" s="577"/>
      <c r="E351" s="577"/>
      <c r="F351" s="577"/>
      <c r="G351" s="577"/>
      <c r="H351" s="577"/>
      <c r="I351" s="577"/>
      <c r="J351" s="513"/>
    </row>
    <row r="352" customHeight="1" spans="1:10">
      <c r="A352" s="680"/>
      <c r="B352" s="681"/>
      <c r="C352" s="681"/>
      <c r="D352" s="577"/>
      <c r="E352" s="577"/>
      <c r="F352" s="577"/>
      <c r="G352" s="577"/>
      <c r="H352" s="577"/>
      <c r="I352" s="577"/>
      <c r="J352" s="513"/>
    </row>
    <row r="353" customHeight="1" spans="1:10">
      <c r="A353" s="680"/>
      <c r="B353" s="681"/>
      <c r="C353" s="681"/>
      <c r="D353" s="577"/>
      <c r="E353" s="577"/>
      <c r="F353" s="577"/>
      <c r="G353" s="577"/>
      <c r="H353" s="577"/>
      <c r="I353" s="577"/>
      <c r="J353" s="513"/>
    </row>
    <row r="354" customHeight="1" spans="1:10">
      <c r="A354" s="680"/>
      <c r="B354" s="681"/>
      <c r="C354" s="681"/>
      <c r="D354" s="577"/>
      <c r="E354" s="577"/>
      <c r="F354" s="577"/>
      <c r="G354" s="577"/>
      <c r="H354" s="577"/>
      <c r="I354" s="577"/>
      <c r="J354" s="513"/>
    </row>
    <row r="355" customHeight="1" spans="1:10">
      <c r="A355" s="680"/>
      <c r="B355" s="681"/>
      <c r="C355" s="681"/>
      <c r="D355" s="577"/>
      <c r="E355" s="577"/>
      <c r="F355" s="577"/>
      <c r="G355" s="577"/>
      <c r="H355" s="577"/>
      <c r="I355" s="577"/>
      <c r="J355" s="513"/>
    </row>
    <row r="356" customHeight="1" spans="1:10">
      <c r="A356" s="680"/>
      <c r="B356" s="681"/>
      <c r="C356" s="681"/>
      <c r="D356" s="577"/>
      <c r="E356" s="577"/>
      <c r="F356" s="577"/>
      <c r="G356" s="577"/>
      <c r="H356" s="577"/>
      <c r="I356" s="577"/>
      <c r="J356" s="513"/>
    </row>
    <row r="357" customHeight="1" spans="1:10">
      <c r="A357" s="680"/>
      <c r="B357" s="681"/>
      <c r="C357" s="681"/>
      <c r="D357" s="577"/>
      <c r="E357" s="577"/>
      <c r="F357" s="577"/>
      <c r="G357" s="577"/>
      <c r="H357" s="577"/>
      <c r="I357" s="577"/>
      <c r="J357" s="513"/>
    </row>
    <row r="358" customHeight="1" spans="1:10">
      <c r="A358" s="680"/>
      <c r="B358" s="681"/>
      <c r="C358" s="681"/>
      <c r="D358" s="577"/>
      <c r="E358" s="577"/>
      <c r="F358" s="577"/>
      <c r="G358" s="577"/>
      <c r="H358" s="577"/>
      <c r="I358" s="577"/>
      <c r="J358" s="513"/>
    </row>
    <row r="359" customHeight="1" spans="1:10">
      <c r="A359" s="680"/>
      <c r="B359" s="681"/>
      <c r="C359" s="681"/>
      <c r="D359" s="577"/>
      <c r="E359" s="577"/>
      <c r="F359" s="577"/>
      <c r="G359" s="577"/>
      <c r="H359" s="577"/>
      <c r="I359" s="577"/>
      <c r="J359" s="513"/>
    </row>
    <row r="360" customHeight="1" spans="1:10">
      <c r="A360" s="680"/>
      <c r="B360" s="681"/>
      <c r="C360" s="681"/>
      <c r="D360" s="577"/>
      <c r="E360" s="577"/>
      <c r="F360" s="577"/>
      <c r="G360" s="577"/>
      <c r="H360" s="577"/>
      <c r="I360" s="577"/>
      <c r="J360" s="513"/>
    </row>
    <row r="361" customHeight="1" spans="1:10">
      <c r="A361" s="680"/>
      <c r="B361" s="681"/>
      <c r="C361" s="681"/>
      <c r="D361" s="577"/>
      <c r="E361" s="577"/>
      <c r="F361" s="577"/>
      <c r="G361" s="577"/>
      <c r="H361" s="577"/>
      <c r="I361" s="577"/>
      <c r="J361" s="513"/>
    </row>
    <row r="362" customHeight="1" spans="1:10">
      <c r="A362" s="680"/>
      <c r="B362" s="681"/>
      <c r="C362" s="681"/>
      <c r="D362" s="577"/>
      <c r="E362" s="577"/>
      <c r="F362" s="577"/>
      <c r="G362" s="577"/>
      <c r="H362" s="577"/>
      <c r="I362" s="577"/>
      <c r="J362" s="513"/>
    </row>
    <row r="363" customHeight="1" spans="1:10">
      <c r="A363" s="680"/>
      <c r="B363" s="681"/>
      <c r="C363" s="681"/>
      <c r="D363" s="577"/>
      <c r="E363" s="577"/>
      <c r="F363" s="577"/>
      <c r="G363" s="577"/>
      <c r="H363" s="577"/>
      <c r="I363" s="577"/>
      <c r="J363" s="513"/>
    </row>
    <row r="364" customHeight="1" spans="1:10">
      <c r="A364" s="680"/>
      <c r="B364" s="681"/>
      <c r="C364" s="681"/>
      <c r="D364" s="577"/>
      <c r="E364" s="577"/>
      <c r="F364" s="577"/>
      <c r="G364" s="577"/>
      <c r="H364" s="577"/>
      <c r="I364" s="577"/>
      <c r="J364" s="513"/>
    </row>
    <row r="365" customHeight="1" spans="1:10">
      <c r="A365" s="680"/>
      <c r="B365" s="681"/>
      <c r="C365" s="681"/>
      <c r="D365" s="577"/>
      <c r="E365" s="577"/>
      <c r="F365" s="577"/>
      <c r="G365" s="577"/>
      <c r="H365" s="577"/>
      <c r="I365" s="577"/>
      <c r="J365" s="513"/>
    </row>
    <row r="366" customHeight="1" spans="1:10">
      <c r="A366" s="680"/>
      <c r="B366" s="681"/>
      <c r="C366" s="681"/>
      <c r="D366" s="577"/>
      <c r="E366" s="577"/>
      <c r="F366" s="577"/>
      <c r="G366" s="577"/>
      <c r="H366" s="577"/>
      <c r="I366" s="577"/>
      <c r="J366" s="513"/>
    </row>
    <row r="367" customHeight="1" spans="1:10">
      <c r="A367" s="680"/>
      <c r="B367" s="681"/>
      <c r="C367" s="681"/>
      <c r="D367" s="577"/>
      <c r="E367" s="577"/>
      <c r="F367" s="577"/>
      <c r="G367" s="577"/>
      <c r="H367" s="577"/>
      <c r="I367" s="577"/>
      <c r="J367" s="513"/>
    </row>
    <row r="368" customHeight="1" spans="1:10">
      <c r="A368" s="680"/>
      <c r="B368" s="681"/>
      <c r="C368" s="681"/>
      <c r="D368" s="577"/>
      <c r="E368" s="577"/>
      <c r="F368" s="577"/>
      <c r="G368" s="577"/>
      <c r="H368" s="577"/>
      <c r="I368" s="577"/>
      <c r="J368" s="513"/>
    </row>
    <row r="369" customHeight="1" spans="1:10">
      <c r="A369" s="680"/>
      <c r="B369" s="681"/>
      <c r="C369" s="681"/>
      <c r="D369" s="577"/>
      <c r="E369" s="577"/>
      <c r="F369" s="577"/>
      <c r="G369" s="577"/>
      <c r="H369" s="577"/>
      <c r="I369" s="577"/>
      <c r="J369" s="513"/>
    </row>
    <row r="370" customHeight="1" spans="1:10">
      <c r="A370" s="680"/>
      <c r="B370" s="681"/>
      <c r="C370" s="681"/>
      <c r="D370" s="577"/>
      <c r="E370" s="577"/>
      <c r="F370" s="577"/>
      <c r="G370" s="577"/>
      <c r="H370" s="577"/>
      <c r="I370" s="577"/>
      <c r="J370" s="513"/>
    </row>
    <row r="371" customHeight="1" spans="1:10">
      <c r="A371" s="680"/>
      <c r="B371" s="681"/>
      <c r="C371" s="681"/>
      <c r="D371" s="577"/>
      <c r="E371" s="577"/>
      <c r="F371" s="577"/>
      <c r="G371" s="577"/>
      <c r="H371" s="577"/>
      <c r="I371" s="577"/>
      <c r="J371" s="513"/>
    </row>
    <row r="372" customHeight="1" spans="1:10">
      <c r="A372" s="680"/>
      <c r="B372" s="681"/>
      <c r="C372" s="681"/>
      <c r="D372" s="577"/>
      <c r="E372" s="577"/>
      <c r="F372" s="577"/>
      <c r="G372" s="577"/>
      <c r="H372" s="577"/>
      <c r="I372" s="577"/>
      <c r="J372" s="513"/>
    </row>
    <row r="373" customHeight="1" spans="1:10">
      <c r="A373" s="680"/>
      <c r="B373" s="681"/>
      <c r="C373" s="681"/>
      <c r="D373" s="577"/>
      <c r="E373" s="577"/>
      <c r="F373" s="577"/>
      <c r="G373" s="577"/>
      <c r="H373" s="577"/>
      <c r="I373" s="577"/>
      <c r="J373" s="513"/>
    </row>
    <row r="374" customHeight="1" spans="1:10">
      <c r="A374" s="680"/>
      <c r="B374" s="681"/>
      <c r="C374" s="681"/>
      <c r="D374" s="577"/>
      <c r="E374" s="577"/>
      <c r="F374" s="577"/>
      <c r="G374" s="577"/>
      <c r="H374" s="577"/>
      <c r="I374" s="577"/>
      <c r="J374" s="513"/>
    </row>
    <row r="375" customHeight="1" spans="1:10">
      <c r="A375" s="680"/>
      <c r="B375" s="681"/>
      <c r="C375" s="681"/>
      <c r="D375" s="577"/>
      <c r="E375" s="577"/>
      <c r="F375" s="577"/>
      <c r="G375" s="577"/>
      <c r="H375" s="577"/>
      <c r="I375" s="577"/>
      <c r="J375" s="513"/>
    </row>
    <row r="376" customHeight="1" spans="1:10">
      <c r="A376" s="680"/>
      <c r="B376" s="681"/>
      <c r="C376" s="681"/>
      <c r="D376" s="577"/>
      <c r="E376" s="577"/>
      <c r="F376" s="577"/>
      <c r="G376" s="577"/>
      <c r="H376" s="577"/>
      <c r="I376" s="577"/>
      <c r="J376" s="513"/>
    </row>
    <row r="377" customHeight="1" spans="1:10">
      <c r="A377" s="680"/>
      <c r="B377" s="681"/>
      <c r="C377" s="681"/>
      <c r="D377" s="577"/>
      <c r="E377" s="577"/>
      <c r="F377" s="577"/>
      <c r="G377" s="577"/>
      <c r="H377" s="577"/>
      <c r="I377" s="577"/>
      <c r="J377" s="513"/>
    </row>
    <row r="378" customHeight="1" spans="1:10">
      <c r="A378" s="680"/>
      <c r="B378" s="681"/>
      <c r="C378" s="681"/>
      <c r="D378" s="577"/>
      <c r="E378" s="577"/>
      <c r="F378" s="577"/>
      <c r="G378" s="577"/>
      <c r="H378" s="577"/>
      <c r="I378" s="577"/>
      <c r="J378" s="513"/>
    </row>
    <row r="379" customHeight="1" spans="1:10">
      <c r="A379" s="680"/>
      <c r="B379" s="681"/>
      <c r="C379" s="681"/>
      <c r="D379" s="577"/>
      <c r="E379" s="577"/>
      <c r="F379" s="577"/>
      <c r="G379" s="577"/>
      <c r="H379" s="577"/>
      <c r="I379" s="577"/>
      <c r="J379" s="513"/>
    </row>
    <row r="380" customHeight="1" spans="1:10">
      <c r="A380" s="680"/>
      <c r="B380" s="681"/>
      <c r="C380" s="681"/>
      <c r="D380" s="577"/>
      <c r="E380" s="577"/>
      <c r="F380" s="577"/>
      <c r="G380" s="577"/>
      <c r="H380" s="577"/>
      <c r="I380" s="577"/>
      <c r="J380" s="513"/>
    </row>
    <row r="381" customHeight="1" spans="1:10">
      <c r="A381" s="680"/>
      <c r="B381" s="681"/>
      <c r="C381" s="681"/>
      <c r="D381" s="577"/>
      <c r="E381" s="577"/>
      <c r="F381" s="577"/>
      <c r="G381" s="577"/>
      <c r="H381" s="577"/>
      <c r="I381" s="577"/>
      <c r="J381" s="513"/>
    </row>
    <row r="382" customHeight="1" spans="1:10">
      <c r="A382" s="680"/>
      <c r="B382" s="681"/>
      <c r="C382" s="681"/>
      <c r="D382" s="577"/>
      <c r="E382" s="577"/>
      <c r="F382" s="577"/>
      <c r="G382" s="577"/>
      <c r="H382" s="577"/>
      <c r="I382" s="577"/>
      <c r="J382" s="513"/>
    </row>
    <row r="383" customHeight="1" spans="1:10">
      <c r="A383" s="680"/>
      <c r="B383" s="681"/>
      <c r="C383" s="681"/>
      <c r="D383" s="577"/>
      <c r="E383" s="577"/>
      <c r="F383" s="577"/>
      <c r="G383" s="577"/>
      <c r="H383" s="577"/>
      <c r="I383" s="577"/>
      <c r="J383" s="513"/>
    </row>
    <row r="384" customHeight="1" spans="1:10">
      <c r="A384" s="680"/>
      <c r="B384" s="681"/>
      <c r="C384" s="681"/>
      <c r="D384" s="577"/>
      <c r="E384" s="577"/>
      <c r="F384" s="577"/>
      <c r="G384" s="577"/>
      <c r="H384" s="577"/>
      <c r="I384" s="577"/>
      <c r="J384" s="513"/>
    </row>
    <row r="385" customHeight="1" spans="1:10">
      <c r="A385" s="680"/>
      <c r="B385" s="681"/>
      <c r="C385" s="681"/>
      <c r="D385" s="577"/>
      <c r="E385" s="577"/>
      <c r="F385" s="577"/>
      <c r="G385" s="577"/>
      <c r="H385" s="577"/>
      <c r="I385" s="577"/>
      <c r="J385" s="513"/>
    </row>
    <row r="386" customHeight="1" spans="1:10">
      <c r="A386" s="680"/>
      <c r="B386" s="681"/>
      <c r="C386" s="681"/>
      <c r="D386" s="577"/>
      <c r="E386" s="577"/>
      <c r="F386" s="577"/>
      <c r="G386" s="577"/>
      <c r="H386" s="577"/>
      <c r="I386" s="577"/>
      <c r="J386" s="513"/>
    </row>
    <row r="387" customHeight="1" spans="1:10">
      <c r="A387" s="680"/>
      <c r="B387" s="681"/>
      <c r="C387" s="681"/>
      <c r="D387" s="577"/>
      <c r="E387" s="577"/>
      <c r="F387" s="577"/>
      <c r="G387" s="577"/>
      <c r="H387" s="577"/>
      <c r="I387" s="577"/>
      <c r="J387" s="513"/>
    </row>
    <row r="388" customHeight="1" spans="1:10">
      <c r="A388" s="680"/>
      <c r="B388" s="681"/>
      <c r="C388" s="681"/>
      <c r="D388" s="577"/>
      <c r="E388" s="577"/>
      <c r="F388" s="577"/>
      <c r="G388" s="577"/>
      <c r="H388" s="577"/>
      <c r="I388" s="577"/>
      <c r="J388" s="513"/>
    </row>
    <row r="389" customHeight="1" spans="1:10">
      <c r="A389" s="680"/>
      <c r="B389" s="681"/>
      <c r="C389" s="681"/>
      <c r="D389" s="577"/>
      <c r="E389" s="577"/>
      <c r="F389" s="577"/>
      <c r="G389" s="577"/>
      <c r="H389" s="577"/>
      <c r="I389" s="577"/>
      <c r="J389" s="513"/>
    </row>
    <row r="390" customHeight="1" spans="1:10">
      <c r="A390" s="680"/>
      <c r="B390" s="681"/>
      <c r="C390" s="681"/>
      <c r="D390" s="577"/>
      <c r="E390" s="577"/>
      <c r="F390" s="577"/>
      <c r="G390" s="577"/>
      <c r="H390" s="577"/>
      <c r="I390" s="577"/>
      <c r="J390" s="513"/>
    </row>
    <row r="391" customHeight="1" spans="1:10">
      <c r="A391" s="680"/>
      <c r="B391" s="681"/>
      <c r="C391" s="681"/>
      <c r="D391" s="577"/>
      <c r="E391" s="577"/>
      <c r="F391" s="577"/>
      <c r="G391" s="577"/>
      <c r="H391" s="577"/>
      <c r="I391" s="577"/>
      <c r="J391" s="513"/>
    </row>
    <row r="392" customHeight="1" spans="1:10">
      <c r="A392" s="680"/>
      <c r="B392" s="681"/>
      <c r="C392" s="681"/>
      <c r="D392" s="577"/>
      <c r="E392" s="577"/>
      <c r="F392" s="577"/>
      <c r="G392" s="577"/>
      <c r="H392" s="577"/>
      <c r="I392" s="577"/>
      <c r="J392" s="513"/>
    </row>
    <row r="393" customHeight="1" spans="1:10">
      <c r="A393" s="680"/>
      <c r="B393" s="681"/>
      <c r="C393" s="681"/>
      <c r="D393" s="577"/>
      <c r="E393" s="577"/>
      <c r="F393" s="577"/>
      <c r="G393" s="577"/>
      <c r="H393" s="577"/>
      <c r="I393" s="577"/>
      <c r="J393" s="513"/>
    </row>
    <row r="394" customHeight="1" spans="1:10">
      <c r="A394" s="680"/>
      <c r="B394" s="681"/>
      <c r="C394" s="681"/>
      <c r="D394" s="577"/>
      <c r="E394" s="577"/>
      <c r="F394" s="577"/>
      <c r="G394" s="577"/>
      <c r="H394" s="577"/>
      <c r="I394" s="577"/>
      <c r="J394" s="513"/>
    </row>
    <row r="395" customHeight="1" spans="1:10">
      <c r="A395" s="680"/>
      <c r="B395" s="681"/>
      <c r="C395" s="681"/>
      <c r="D395" s="577"/>
      <c r="E395" s="577"/>
      <c r="F395" s="577"/>
      <c r="G395" s="577"/>
      <c r="H395" s="577"/>
      <c r="I395" s="577"/>
      <c r="J395" s="513"/>
    </row>
    <row r="396" customHeight="1" spans="1:10">
      <c r="A396" s="680"/>
      <c r="B396" s="681"/>
      <c r="C396" s="681"/>
      <c r="D396" s="577"/>
      <c r="E396" s="577"/>
      <c r="F396" s="577"/>
      <c r="G396" s="577"/>
      <c r="H396" s="577"/>
      <c r="I396" s="577"/>
      <c r="J396" s="513"/>
    </row>
    <row r="397" customHeight="1" spans="1:10">
      <c r="A397" s="680"/>
      <c r="B397" s="681"/>
      <c r="C397" s="681"/>
      <c r="D397" s="577"/>
      <c r="E397" s="577"/>
      <c r="F397" s="577"/>
      <c r="G397" s="577"/>
      <c r="H397" s="577"/>
      <c r="I397" s="577"/>
      <c r="J397" s="513"/>
    </row>
    <row r="398" customHeight="1" spans="1:10">
      <c r="A398" s="680"/>
      <c r="B398" s="681"/>
      <c r="C398" s="681"/>
      <c r="D398" s="577"/>
      <c r="E398" s="577"/>
      <c r="F398" s="577"/>
      <c r="G398" s="577"/>
      <c r="H398" s="577"/>
      <c r="I398" s="577"/>
      <c r="J398" s="513"/>
    </row>
    <row r="399" customHeight="1" spans="1:10">
      <c r="A399" s="680"/>
      <c r="B399" s="681"/>
      <c r="C399" s="681"/>
      <c r="D399" s="577"/>
      <c r="E399" s="577"/>
      <c r="F399" s="577"/>
      <c r="G399" s="577"/>
      <c r="H399" s="577"/>
      <c r="I399" s="577"/>
      <c r="J399" s="513"/>
    </row>
    <row r="400" customHeight="1" spans="1:10">
      <c r="A400" s="680"/>
      <c r="B400" s="681"/>
      <c r="C400" s="681"/>
      <c r="D400" s="577"/>
      <c r="E400" s="577"/>
      <c r="F400" s="577"/>
      <c r="G400" s="577"/>
      <c r="H400" s="577"/>
      <c r="I400" s="577"/>
      <c r="J400" s="513"/>
    </row>
    <row r="401" customHeight="1" spans="1:10">
      <c r="A401" s="680"/>
      <c r="B401" s="681"/>
      <c r="C401" s="681"/>
      <c r="D401" s="577"/>
      <c r="E401" s="577"/>
      <c r="F401" s="577"/>
      <c r="G401" s="577"/>
      <c r="H401" s="577"/>
      <c r="I401" s="577"/>
      <c r="J401" s="513"/>
    </row>
    <row r="402" customHeight="1" spans="1:10">
      <c r="A402" s="680"/>
      <c r="B402" s="681"/>
      <c r="C402" s="681"/>
      <c r="D402" s="577"/>
      <c r="E402" s="577"/>
      <c r="F402" s="577"/>
      <c r="G402" s="577"/>
      <c r="H402" s="577"/>
      <c r="I402" s="577"/>
      <c r="J402" s="513"/>
    </row>
    <row r="403" customHeight="1" spans="1:10">
      <c r="A403" s="680"/>
      <c r="B403" s="681"/>
      <c r="C403" s="681"/>
      <c r="D403" s="577"/>
      <c r="E403" s="577"/>
      <c r="F403" s="577"/>
      <c r="G403" s="577"/>
      <c r="H403" s="577"/>
      <c r="I403" s="577"/>
      <c r="J403" s="513"/>
    </row>
    <row r="404" customHeight="1" spans="1:10">
      <c r="A404" s="680"/>
      <c r="B404" s="681"/>
      <c r="C404" s="681"/>
      <c r="D404" s="577"/>
      <c r="E404" s="577"/>
      <c r="F404" s="577"/>
      <c r="G404" s="577"/>
      <c r="H404" s="577"/>
      <c r="I404" s="577"/>
      <c r="J404" s="513"/>
    </row>
    <row r="405" customHeight="1" spans="1:10">
      <c r="A405" s="680"/>
      <c r="B405" s="681"/>
      <c r="C405" s="681"/>
      <c r="D405" s="577"/>
      <c r="E405" s="577"/>
      <c r="F405" s="577"/>
      <c r="G405" s="577"/>
      <c r="H405" s="577"/>
      <c r="I405" s="577"/>
      <c r="J405" s="513"/>
    </row>
    <row r="406" customHeight="1" spans="1:10">
      <c r="A406" s="680"/>
      <c r="B406" s="681"/>
      <c r="C406" s="681"/>
      <c r="D406" s="577"/>
      <c r="E406" s="577"/>
      <c r="F406" s="577"/>
      <c r="G406" s="577"/>
      <c r="H406" s="577"/>
      <c r="I406" s="577"/>
      <c r="J406" s="513"/>
    </row>
    <row r="407" customHeight="1" spans="1:10">
      <c r="A407" s="680"/>
      <c r="B407" s="681"/>
      <c r="C407" s="681"/>
      <c r="D407" s="577"/>
      <c r="E407" s="577"/>
      <c r="F407" s="577"/>
      <c r="G407" s="577"/>
      <c r="H407" s="577"/>
      <c r="I407" s="577"/>
      <c r="J407" s="513"/>
    </row>
    <row r="408" customHeight="1" spans="1:10">
      <c r="A408" s="680"/>
      <c r="B408" s="681"/>
      <c r="C408" s="681"/>
      <c r="D408" s="577"/>
      <c r="E408" s="577"/>
      <c r="F408" s="577"/>
      <c r="G408" s="577"/>
      <c r="H408" s="577"/>
      <c r="I408" s="577"/>
      <c r="J408" s="513"/>
    </row>
    <row r="409" customHeight="1" spans="1:10">
      <c r="A409" s="680"/>
      <c r="B409" s="681"/>
      <c r="C409" s="681"/>
      <c r="D409" s="577"/>
      <c r="E409" s="577"/>
      <c r="F409" s="577"/>
      <c r="G409" s="577"/>
      <c r="H409" s="577"/>
      <c r="I409" s="577"/>
      <c r="J409" s="513"/>
    </row>
    <row r="410" customHeight="1" spans="1:10">
      <c r="A410" s="680"/>
      <c r="B410" s="681"/>
      <c r="C410" s="681"/>
      <c r="D410" s="577"/>
      <c r="E410" s="577"/>
      <c r="F410" s="577"/>
      <c r="G410" s="577"/>
      <c r="H410" s="577"/>
      <c r="I410" s="577"/>
      <c r="J410" s="513"/>
    </row>
    <row r="411" customHeight="1" spans="1:10">
      <c r="A411" s="680"/>
      <c r="B411" s="681"/>
      <c r="C411" s="681"/>
      <c r="D411" s="577"/>
      <c r="E411" s="577"/>
      <c r="F411" s="577"/>
      <c r="G411" s="577"/>
      <c r="H411" s="577"/>
      <c r="I411" s="577"/>
      <c r="J411" s="513"/>
    </row>
    <row r="412" customHeight="1" spans="1:10">
      <c r="A412" s="680"/>
      <c r="B412" s="681"/>
      <c r="C412" s="681"/>
      <c r="D412" s="577"/>
      <c r="E412" s="577"/>
      <c r="F412" s="577"/>
      <c r="G412" s="577"/>
      <c r="H412" s="577"/>
      <c r="I412" s="577"/>
      <c r="J412" s="513"/>
    </row>
    <row r="413" customHeight="1" spans="1:10">
      <c r="A413" s="680"/>
      <c r="B413" s="681"/>
      <c r="C413" s="681"/>
      <c r="D413" s="577"/>
      <c r="E413" s="577"/>
      <c r="F413" s="577"/>
      <c r="G413" s="577"/>
      <c r="H413" s="577"/>
      <c r="I413" s="577"/>
      <c r="J413" s="513"/>
    </row>
    <row r="414" customHeight="1" spans="1:10">
      <c r="A414" s="680"/>
      <c r="B414" s="681"/>
      <c r="C414" s="681"/>
      <c r="D414" s="577"/>
      <c r="E414" s="577"/>
      <c r="F414" s="577"/>
      <c r="G414" s="577"/>
      <c r="H414" s="577"/>
      <c r="I414" s="577"/>
      <c r="J414" s="513"/>
    </row>
    <row r="415" customHeight="1" spans="1:10">
      <c r="A415" s="680"/>
      <c r="B415" s="681"/>
      <c r="C415" s="681"/>
      <c r="D415" s="577"/>
      <c r="E415" s="577"/>
      <c r="F415" s="577"/>
      <c r="G415" s="577"/>
      <c r="H415" s="577"/>
      <c r="I415" s="577"/>
      <c r="J415" s="513"/>
    </row>
    <row r="416" customHeight="1" spans="1:10">
      <c r="A416" s="680"/>
      <c r="B416" s="681"/>
      <c r="C416" s="681"/>
      <c r="D416" s="577"/>
      <c r="E416" s="577"/>
      <c r="F416" s="577"/>
      <c r="G416" s="577"/>
      <c r="H416" s="577"/>
      <c r="I416" s="577"/>
      <c r="J416" s="513"/>
    </row>
    <row r="417" customHeight="1" spans="1:10">
      <c r="A417" s="680"/>
      <c r="B417" s="681"/>
      <c r="C417" s="681"/>
      <c r="D417" s="577"/>
      <c r="E417" s="577"/>
      <c r="F417" s="577"/>
      <c r="G417" s="577"/>
      <c r="H417" s="577"/>
      <c r="I417" s="577"/>
      <c r="J417" s="513"/>
    </row>
    <row r="418" customHeight="1" spans="1:10">
      <c r="A418" s="680"/>
      <c r="B418" s="681"/>
      <c r="C418" s="681"/>
      <c r="D418" s="577"/>
      <c r="E418" s="577"/>
      <c r="F418" s="577"/>
      <c r="G418" s="577"/>
      <c r="H418" s="577"/>
      <c r="I418" s="577"/>
      <c r="J418" s="513"/>
    </row>
    <row r="419" customHeight="1" spans="1:10">
      <c r="A419" s="680"/>
      <c r="B419" s="681"/>
      <c r="C419" s="681"/>
      <c r="D419" s="577"/>
      <c r="E419" s="577"/>
      <c r="F419" s="577"/>
      <c r="G419" s="577"/>
      <c r="H419" s="577"/>
      <c r="I419" s="577"/>
      <c r="J419" s="513"/>
    </row>
    <row r="420" customHeight="1" spans="1:10">
      <c r="A420" s="680"/>
      <c r="B420" s="681"/>
      <c r="C420" s="681"/>
      <c r="D420" s="577"/>
      <c r="E420" s="577"/>
      <c r="F420" s="577"/>
      <c r="G420" s="577"/>
      <c r="H420" s="577"/>
      <c r="I420" s="577"/>
      <c r="J420" s="513"/>
    </row>
    <row r="421" customHeight="1" spans="1:10">
      <c r="A421" s="680"/>
      <c r="B421" s="681"/>
      <c r="C421" s="681"/>
      <c r="D421" s="577"/>
      <c r="E421" s="577"/>
      <c r="F421" s="577"/>
      <c r="G421" s="577"/>
      <c r="H421" s="577"/>
      <c r="I421" s="577"/>
      <c r="J421" s="513"/>
    </row>
    <row r="422" customHeight="1" spans="1:10">
      <c r="A422" s="680"/>
      <c r="B422" s="681"/>
      <c r="C422" s="681"/>
      <c r="D422" s="577"/>
      <c r="E422" s="577"/>
      <c r="F422" s="577"/>
      <c r="G422" s="577"/>
      <c r="H422" s="577"/>
      <c r="I422" s="577"/>
      <c r="J422" s="513"/>
    </row>
    <row r="423" customHeight="1" spans="1:10">
      <c r="A423" s="680"/>
      <c r="B423" s="681"/>
      <c r="C423" s="681"/>
      <c r="D423" s="577"/>
      <c r="E423" s="577"/>
      <c r="F423" s="577"/>
      <c r="G423" s="577"/>
      <c r="H423" s="577"/>
      <c r="I423" s="577"/>
      <c r="J423" s="513"/>
    </row>
    <row r="424" customHeight="1" spans="1:10">
      <c r="A424" s="680"/>
      <c r="B424" s="681"/>
      <c r="C424" s="681"/>
      <c r="D424" s="577"/>
      <c r="E424" s="577"/>
      <c r="F424" s="577"/>
      <c r="G424" s="577"/>
      <c r="H424" s="577"/>
      <c r="I424" s="577"/>
      <c r="J424" s="513"/>
    </row>
    <row r="425" customHeight="1" spans="1:10">
      <c r="A425" s="680"/>
      <c r="B425" s="681"/>
      <c r="C425" s="681"/>
      <c r="D425" s="577"/>
      <c r="E425" s="577"/>
      <c r="F425" s="577"/>
      <c r="G425" s="577"/>
      <c r="H425" s="577"/>
      <c r="I425" s="577"/>
      <c r="J425" s="513"/>
    </row>
    <row r="426" customHeight="1" spans="1:10">
      <c r="A426" s="680"/>
      <c r="B426" s="681"/>
      <c r="C426" s="681"/>
      <c r="D426" s="577"/>
      <c r="E426" s="577"/>
      <c r="F426" s="577"/>
      <c r="G426" s="577"/>
      <c r="H426" s="577"/>
      <c r="I426" s="577"/>
      <c r="J426" s="513"/>
    </row>
    <row r="427" customHeight="1" spans="1:10">
      <c r="A427" s="680"/>
      <c r="B427" s="681"/>
      <c r="C427" s="681"/>
      <c r="D427" s="577"/>
      <c r="E427" s="577"/>
      <c r="F427" s="577"/>
      <c r="G427" s="577"/>
      <c r="H427" s="577"/>
      <c r="I427" s="577"/>
      <c r="J427" s="513"/>
    </row>
    <row r="428" customHeight="1" spans="1:10">
      <c r="A428" s="680"/>
      <c r="B428" s="681"/>
      <c r="C428" s="681"/>
      <c r="D428" s="577"/>
      <c r="E428" s="577"/>
      <c r="F428" s="577"/>
      <c r="G428" s="577"/>
      <c r="H428" s="577"/>
      <c r="I428" s="577"/>
      <c r="J428" s="513"/>
    </row>
    <row r="429" customHeight="1" spans="1:10">
      <c r="A429" s="680"/>
      <c r="B429" s="681"/>
      <c r="C429" s="681"/>
      <c r="D429" s="577"/>
      <c r="E429" s="577"/>
      <c r="F429" s="577"/>
      <c r="G429" s="577"/>
      <c r="H429" s="577"/>
      <c r="I429" s="577"/>
      <c r="J429" s="513"/>
    </row>
    <row r="430" customHeight="1" spans="1:10">
      <c r="A430" s="680"/>
      <c r="B430" s="681"/>
      <c r="C430" s="681"/>
      <c r="D430" s="577"/>
      <c r="E430" s="577"/>
      <c r="F430" s="577"/>
      <c r="G430" s="577"/>
      <c r="H430" s="577"/>
      <c r="I430" s="577"/>
      <c r="J430" s="513"/>
    </row>
    <row r="431" customHeight="1" spans="1:10">
      <c r="A431" s="680"/>
      <c r="B431" s="681"/>
      <c r="C431" s="681"/>
      <c r="D431" s="577"/>
      <c r="E431" s="577"/>
      <c r="F431" s="577"/>
      <c r="G431" s="577"/>
      <c r="H431" s="577"/>
      <c r="I431" s="577"/>
      <c r="J431" s="513"/>
    </row>
    <row r="432" customHeight="1" spans="1:10">
      <c r="A432" s="680"/>
      <c r="B432" s="681"/>
      <c r="C432" s="681"/>
      <c r="D432" s="577"/>
      <c r="E432" s="577"/>
      <c r="F432" s="577"/>
      <c r="G432" s="577"/>
      <c r="H432" s="577"/>
      <c r="I432" s="577"/>
      <c r="J432" s="513"/>
    </row>
    <row r="433" customHeight="1" spans="1:10">
      <c r="A433" s="680"/>
      <c r="B433" s="681"/>
      <c r="C433" s="681"/>
      <c r="D433" s="577"/>
      <c r="E433" s="577"/>
      <c r="F433" s="577"/>
      <c r="G433" s="577"/>
      <c r="H433" s="577"/>
      <c r="I433" s="577"/>
      <c r="J433" s="513"/>
    </row>
    <row r="434" customHeight="1" spans="1:10">
      <c r="A434" s="680"/>
      <c r="B434" s="681"/>
      <c r="C434" s="681"/>
      <c r="D434" s="577"/>
      <c r="E434" s="577"/>
      <c r="F434" s="577"/>
      <c r="G434" s="577"/>
      <c r="H434" s="577"/>
      <c r="I434" s="577"/>
      <c r="J434" s="513"/>
    </row>
    <row r="435" customHeight="1" spans="1:10">
      <c r="A435" s="680"/>
      <c r="B435" s="681"/>
      <c r="C435" s="681"/>
      <c r="D435" s="577"/>
      <c r="E435" s="577"/>
      <c r="F435" s="577"/>
      <c r="G435" s="577"/>
      <c r="H435" s="577"/>
      <c r="I435" s="577"/>
      <c r="J435" s="513"/>
    </row>
    <row r="436" customHeight="1" spans="1:10">
      <c r="A436" s="680"/>
      <c r="B436" s="681"/>
      <c r="C436" s="681"/>
      <c r="D436" s="577"/>
      <c r="E436" s="577"/>
      <c r="F436" s="577"/>
      <c r="G436" s="577"/>
      <c r="H436" s="577"/>
      <c r="I436" s="577"/>
      <c r="J436" s="513"/>
    </row>
    <row r="437" customHeight="1" spans="1:10">
      <c r="A437" s="680"/>
      <c r="B437" s="681"/>
      <c r="C437" s="681"/>
      <c r="D437" s="577"/>
      <c r="E437" s="577"/>
      <c r="F437" s="577"/>
      <c r="G437" s="577"/>
      <c r="H437" s="577"/>
      <c r="I437" s="577"/>
      <c r="J437" s="513"/>
    </row>
    <row r="438" customHeight="1" spans="1:10">
      <c r="A438" s="680"/>
      <c r="B438" s="681"/>
      <c r="C438" s="681"/>
      <c r="D438" s="577"/>
      <c r="E438" s="577"/>
      <c r="F438" s="577"/>
      <c r="G438" s="577"/>
      <c r="H438" s="577"/>
      <c r="I438" s="577"/>
      <c r="J438" s="513"/>
    </row>
    <row r="439" customHeight="1" spans="1:10">
      <c r="A439" s="680"/>
      <c r="B439" s="681"/>
      <c r="C439" s="681"/>
      <c r="D439" s="577"/>
      <c r="E439" s="577"/>
      <c r="F439" s="577"/>
      <c r="G439" s="577"/>
      <c r="H439" s="577"/>
      <c r="I439" s="577"/>
      <c r="J439" s="513"/>
    </row>
    <row r="440" customHeight="1" spans="1:10">
      <c r="A440" s="680"/>
      <c r="B440" s="681"/>
      <c r="C440" s="681"/>
      <c r="D440" s="577"/>
      <c r="E440" s="577"/>
      <c r="F440" s="577"/>
      <c r="G440" s="577"/>
      <c r="H440" s="577"/>
      <c r="I440" s="577"/>
      <c r="J440" s="513"/>
    </row>
    <row r="441" customHeight="1" spans="1:10">
      <c r="A441" s="680"/>
      <c r="B441" s="681"/>
      <c r="C441" s="681"/>
      <c r="D441" s="577"/>
      <c r="E441" s="577"/>
      <c r="F441" s="577"/>
      <c r="G441" s="577"/>
      <c r="H441" s="577"/>
      <c r="I441" s="577"/>
      <c r="J441" s="513"/>
    </row>
    <row r="442" customHeight="1" spans="1:10">
      <c r="A442" s="680"/>
      <c r="B442" s="681"/>
      <c r="C442" s="681"/>
      <c r="D442" s="577"/>
      <c r="E442" s="577"/>
      <c r="F442" s="577"/>
      <c r="G442" s="577"/>
      <c r="H442" s="577"/>
      <c r="I442" s="577"/>
      <c r="J442" s="513"/>
    </row>
    <row r="443" customHeight="1" spans="1:10">
      <c r="A443" s="680"/>
      <c r="B443" s="681"/>
      <c r="C443" s="681"/>
      <c r="D443" s="577"/>
      <c r="E443" s="577"/>
      <c r="F443" s="577"/>
      <c r="G443" s="577"/>
      <c r="H443" s="577"/>
      <c r="I443" s="577"/>
      <c r="J443" s="513"/>
    </row>
    <row r="444" customHeight="1" spans="1:10">
      <c r="A444" s="680"/>
      <c r="B444" s="681"/>
      <c r="C444" s="681"/>
      <c r="D444" s="577"/>
      <c r="E444" s="577"/>
      <c r="F444" s="577"/>
      <c r="G444" s="577"/>
      <c r="H444" s="577"/>
      <c r="I444" s="577"/>
      <c r="J444" s="513"/>
    </row>
    <row r="445" customHeight="1" spans="1:10">
      <c r="A445" s="680"/>
      <c r="B445" s="681"/>
      <c r="C445" s="681"/>
      <c r="D445" s="577"/>
      <c r="E445" s="577"/>
      <c r="F445" s="577"/>
      <c r="G445" s="577"/>
      <c r="H445" s="577"/>
      <c r="I445" s="577"/>
      <c r="J445" s="513"/>
    </row>
    <row r="446" customHeight="1" spans="1:10">
      <c r="A446" s="680"/>
      <c r="B446" s="681"/>
      <c r="C446" s="681"/>
      <c r="D446" s="577"/>
      <c r="E446" s="577"/>
      <c r="F446" s="577"/>
      <c r="G446" s="577"/>
      <c r="H446" s="577"/>
      <c r="I446" s="577"/>
      <c r="J446" s="513"/>
    </row>
    <row r="447" customHeight="1" spans="1:10">
      <c r="A447" s="680"/>
      <c r="B447" s="681"/>
      <c r="C447" s="681"/>
      <c r="D447" s="577"/>
      <c r="E447" s="577"/>
      <c r="F447" s="577"/>
      <c r="G447" s="577"/>
      <c r="H447" s="577"/>
      <c r="I447" s="577"/>
      <c r="J447" s="513"/>
    </row>
    <row r="448" customHeight="1" spans="1:10">
      <c r="A448" s="680"/>
      <c r="B448" s="681"/>
      <c r="C448" s="681"/>
      <c r="D448" s="577"/>
      <c r="E448" s="577"/>
      <c r="F448" s="577"/>
      <c r="G448" s="577"/>
      <c r="H448" s="577"/>
      <c r="I448" s="577"/>
      <c r="J448" s="513"/>
    </row>
    <row r="449" customHeight="1" spans="1:10">
      <c r="A449" s="680"/>
      <c r="B449" s="681"/>
      <c r="C449" s="681"/>
      <c r="D449" s="577"/>
      <c r="E449" s="577"/>
      <c r="F449" s="577"/>
      <c r="G449" s="577"/>
      <c r="H449" s="577"/>
      <c r="I449" s="577"/>
      <c r="J449" s="513"/>
    </row>
    <row r="450" customHeight="1" spans="1:10">
      <c r="A450" s="680"/>
      <c r="B450" s="681"/>
      <c r="C450" s="681"/>
      <c r="D450" s="577"/>
      <c r="E450" s="577"/>
      <c r="F450" s="577"/>
      <c r="G450" s="577"/>
      <c r="H450" s="577"/>
      <c r="I450" s="577"/>
      <c r="J450" s="513"/>
    </row>
    <row r="451" customHeight="1" spans="1:10">
      <c r="A451" s="680"/>
      <c r="B451" s="681"/>
      <c r="C451" s="681"/>
      <c r="D451" s="577"/>
      <c r="E451" s="577"/>
      <c r="F451" s="577"/>
      <c r="G451" s="577"/>
      <c r="H451" s="577"/>
      <c r="I451" s="577"/>
      <c r="J451" s="513"/>
    </row>
    <row r="452" customHeight="1" spans="1:10">
      <c r="A452" s="680"/>
      <c r="B452" s="681"/>
      <c r="C452" s="681"/>
      <c r="D452" s="577"/>
      <c r="E452" s="577"/>
      <c r="F452" s="577"/>
      <c r="G452" s="577"/>
      <c r="H452" s="577"/>
      <c r="I452" s="577"/>
      <c r="J452" s="513"/>
    </row>
    <row r="453" customHeight="1" spans="1:10">
      <c r="A453" s="680"/>
      <c r="B453" s="681"/>
      <c r="C453" s="681"/>
      <c r="D453" s="577"/>
      <c r="E453" s="577"/>
      <c r="F453" s="577"/>
      <c r="G453" s="577"/>
      <c r="H453" s="577"/>
      <c r="I453" s="577"/>
      <c r="J453" s="513"/>
    </row>
    <row r="454" customHeight="1" spans="1:10">
      <c r="A454" s="680"/>
      <c r="B454" s="681"/>
      <c r="C454" s="681"/>
      <c r="D454" s="577"/>
      <c r="E454" s="577"/>
      <c r="F454" s="577"/>
      <c r="G454" s="577"/>
      <c r="H454" s="577"/>
      <c r="I454" s="577"/>
      <c r="J454" s="513"/>
    </row>
    <row r="455" customHeight="1" spans="1:10">
      <c r="A455" s="680"/>
      <c r="B455" s="681"/>
      <c r="C455" s="681"/>
      <c r="D455" s="577"/>
      <c r="E455" s="577"/>
      <c r="F455" s="577"/>
      <c r="G455" s="577"/>
      <c r="H455" s="577"/>
      <c r="I455" s="577"/>
      <c r="J455" s="513"/>
    </row>
    <row r="456" customHeight="1" spans="1:10">
      <c r="A456" s="680"/>
      <c r="B456" s="681"/>
      <c r="C456" s="681"/>
      <c r="D456" s="577"/>
      <c r="E456" s="577"/>
      <c r="F456" s="577"/>
      <c r="G456" s="577"/>
      <c r="H456" s="577"/>
      <c r="I456" s="577"/>
      <c r="J456" s="513"/>
    </row>
    <row r="457" customHeight="1" spans="1:10">
      <c r="A457" s="680"/>
      <c r="B457" s="681"/>
      <c r="C457" s="681"/>
      <c r="D457" s="577"/>
      <c r="E457" s="577"/>
      <c r="F457" s="577"/>
      <c r="G457" s="577"/>
      <c r="H457" s="577"/>
      <c r="I457" s="577"/>
      <c r="J457" s="513"/>
    </row>
    <row r="458" customHeight="1" spans="1:10">
      <c r="A458" s="680"/>
      <c r="B458" s="681"/>
      <c r="C458" s="681"/>
      <c r="D458" s="577"/>
      <c r="E458" s="577"/>
      <c r="F458" s="577"/>
      <c r="G458" s="577"/>
      <c r="H458" s="577"/>
      <c r="I458" s="577"/>
      <c r="J458" s="513"/>
    </row>
    <row r="459" customHeight="1" spans="1:10">
      <c r="A459" s="680"/>
      <c r="B459" s="681"/>
      <c r="C459" s="681"/>
      <c r="D459" s="577"/>
      <c r="E459" s="577"/>
      <c r="F459" s="577"/>
      <c r="G459" s="577"/>
      <c r="H459" s="577"/>
      <c r="I459" s="577"/>
      <c r="J459" s="513"/>
    </row>
    <row r="460" customHeight="1" spans="1:10">
      <c r="A460" s="680"/>
      <c r="B460" s="681"/>
      <c r="C460" s="681"/>
      <c r="D460" s="577"/>
      <c r="E460" s="577"/>
      <c r="F460" s="577"/>
      <c r="G460" s="577"/>
      <c r="H460" s="577"/>
      <c r="I460" s="577"/>
      <c r="J460" s="513"/>
    </row>
    <row r="461" customHeight="1" spans="1:10">
      <c r="A461" s="680"/>
      <c r="B461" s="681"/>
      <c r="C461" s="681"/>
      <c r="D461" s="577"/>
      <c r="E461" s="577"/>
      <c r="F461" s="577"/>
      <c r="G461" s="577"/>
      <c r="H461" s="577"/>
      <c r="I461" s="577"/>
      <c r="J461" s="513"/>
    </row>
    <row r="462" customHeight="1" spans="1:10">
      <c r="A462" s="680"/>
      <c r="B462" s="681"/>
      <c r="C462" s="681"/>
      <c r="D462" s="577"/>
      <c r="E462" s="577"/>
      <c r="F462" s="577"/>
      <c r="G462" s="577"/>
      <c r="H462" s="577"/>
      <c r="I462" s="577"/>
      <c r="J462" s="513"/>
    </row>
    <row r="463" customHeight="1" spans="1:10">
      <c r="A463" s="680"/>
      <c r="B463" s="681"/>
      <c r="C463" s="681"/>
      <c r="D463" s="577"/>
      <c r="E463" s="577"/>
      <c r="F463" s="577"/>
      <c r="G463" s="577"/>
      <c r="H463" s="577"/>
      <c r="I463" s="577"/>
      <c r="J463" s="513"/>
    </row>
    <row r="464" customHeight="1" spans="1:10">
      <c r="A464" s="680"/>
      <c r="B464" s="681"/>
      <c r="C464" s="681"/>
      <c r="D464" s="577"/>
      <c r="E464" s="577"/>
      <c r="F464" s="577"/>
      <c r="G464" s="577"/>
      <c r="H464" s="577"/>
      <c r="I464" s="577"/>
      <c r="J464" s="513"/>
    </row>
    <row r="465" customHeight="1" spans="1:10">
      <c r="A465" s="680"/>
      <c r="B465" s="681"/>
      <c r="C465" s="681"/>
      <c r="D465" s="577"/>
      <c r="E465" s="577"/>
      <c r="F465" s="577"/>
      <c r="G465" s="577"/>
      <c r="H465" s="577"/>
      <c r="I465" s="577"/>
      <c r="J465" s="513"/>
    </row>
    <row r="466" customHeight="1" spans="1:10">
      <c r="A466" s="680"/>
      <c r="B466" s="681"/>
      <c r="C466" s="681"/>
      <c r="D466" s="577"/>
      <c r="E466" s="577"/>
      <c r="F466" s="577"/>
      <c r="G466" s="577"/>
      <c r="H466" s="577"/>
      <c r="I466" s="577"/>
      <c r="J466" s="513"/>
    </row>
    <row r="467" customHeight="1" spans="1:10">
      <c r="A467" s="680"/>
      <c r="B467" s="681"/>
      <c r="C467" s="681"/>
      <c r="D467" s="577"/>
      <c r="E467" s="577"/>
      <c r="F467" s="577"/>
      <c r="G467" s="577"/>
      <c r="H467" s="577"/>
      <c r="I467" s="577"/>
      <c r="J467" s="513"/>
    </row>
    <row r="468" customHeight="1" spans="1:10">
      <c r="A468" s="680"/>
      <c r="B468" s="681"/>
      <c r="C468" s="681"/>
      <c r="D468" s="577"/>
      <c r="E468" s="577"/>
      <c r="F468" s="577"/>
      <c r="G468" s="577"/>
      <c r="H468" s="577"/>
      <c r="I468" s="577"/>
      <c r="J468" s="513"/>
    </row>
    <row r="469" customHeight="1" spans="1:10">
      <c r="A469" s="680"/>
      <c r="B469" s="681"/>
      <c r="C469" s="681"/>
      <c r="D469" s="577"/>
      <c r="E469" s="577"/>
      <c r="F469" s="577"/>
      <c r="G469" s="577"/>
      <c r="H469" s="577"/>
      <c r="I469" s="577"/>
      <c r="J469" s="513"/>
    </row>
    <row r="470" customHeight="1" spans="1:10">
      <c r="A470" s="680"/>
      <c r="B470" s="681"/>
      <c r="C470" s="681"/>
      <c r="D470" s="577"/>
      <c r="E470" s="577"/>
      <c r="F470" s="577"/>
      <c r="G470" s="577"/>
      <c r="H470" s="577"/>
      <c r="I470" s="577"/>
      <c r="J470" s="513"/>
    </row>
    <row r="471" customHeight="1" spans="1:10">
      <c r="A471" s="680"/>
      <c r="B471" s="681"/>
      <c r="C471" s="681"/>
      <c r="D471" s="577"/>
      <c r="E471" s="577"/>
      <c r="F471" s="577"/>
      <c r="G471" s="577"/>
      <c r="H471" s="577"/>
      <c r="I471" s="577"/>
      <c r="J471" s="513"/>
    </row>
    <row r="472" customHeight="1" spans="1:10">
      <c r="A472" s="680"/>
      <c r="B472" s="681"/>
      <c r="C472" s="681"/>
      <c r="D472" s="577"/>
      <c r="E472" s="577"/>
      <c r="F472" s="577"/>
      <c r="G472" s="577"/>
      <c r="H472" s="577"/>
      <c r="I472" s="577"/>
      <c r="J472" s="513"/>
    </row>
    <row r="473" customHeight="1" spans="1:10">
      <c r="A473" s="680"/>
      <c r="B473" s="681"/>
      <c r="C473" s="681"/>
      <c r="D473" s="577"/>
      <c r="E473" s="577"/>
      <c r="F473" s="577"/>
      <c r="G473" s="577"/>
      <c r="H473" s="577"/>
      <c r="I473" s="577"/>
      <c r="J473" s="513"/>
    </row>
    <row r="474" customHeight="1" spans="1:10">
      <c r="A474" s="680"/>
      <c r="B474" s="681"/>
      <c r="C474" s="681"/>
      <c r="D474" s="577"/>
      <c r="E474" s="577"/>
      <c r="F474" s="577"/>
      <c r="G474" s="577"/>
      <c r="H474" s="577"/>
      <c r="I474" s="577"/>
      <c r="J474" s="513"/>
    </row>
    <row r="475" customHeight="1" spans="1:10">
      <c r="A475" s="680"/>
      <c r="B475" s="681"/>
      <c r="C475" s="681"/>
      <c r="D475" s="577"/>
      <c r="E475" s="577"/>
      <c r="F475" s="577"/>
      <c r="G475" s="577"/>
      <c r="H475" s="577"/>
      <c r="I475" s="577"/>
      <c r="J475" s="513"/>
    </row>
    <row r="476" customHeight="1" spans="1:10">
      <c r="A476" s="680"/>
      <c r="B476" s="681"/>
      <c r="C476" s="681"/>
      <c r="D476" s="577"/>
      <c r="E476" s="577"/>
      <c r="F476" s="577"/>
      <c r="G476" s="577"/>
      <c r="H476" s="577"/>
      <c r="I476" s="577"/>
      <c r="J476" s="513"/>
    </row>
    <row r="477" customHeight="1" spans="1:10">
      <c r="A477" s="680"/>
      <c r="B477" s="681"/>
      <c r="C477" s="681"/>
      <c r="D477" s="577"/>
      <c r="E477" s="577"/>
      <c r="F477" s="577"/>
      <c r="G477" s="577"/>
      <c r="H477" s="577"/>
      <c r="I477" s="577"/>
      <c r="J477" s="513"/>
    </row>
    <row r="478" customHeight="1" spans="1:10">
      <c r="A478" s="680"/>
      <c r="B478" s="681"/>
      <c r="C478" s="681"/>
      <c r="D478" s="577"/>
      <c r="E478" s="577"/>
      <c r="F478" s="577"/>
      <c r="G478" s="577"/>
      <c r="H478" s="577"/>
      <c r="I478" s="577"/>
      <c r="J478" s="513"/>
    </row>
    <row r="479" customHeight="1" spans="1:10">
      <c r="A479" s="680"/>
      <c r="B479" s="681"/>
      <c r="C479" s="681"/>
      <c r="D479" s="577"/>
      <c r="E479" s="577"/>
      <c r="F479" s="577"/>
      <c r="G479" s="577"/>
      <c r="H479" s="577"/>
      <c r="I479" s="577"/>
      <c r="J479" s="513"/>
    </row>
    <row r="480" customHeight="1" spans="1:10">
      <c r="A480" s="680"/>
      <c r="B480" s="681"/>
      <c r="C480" s="681"/>
      <c r="D480" s="577"/>
      <c r="E480" s="577"/>
      <c r="F480" s="577"/>
      <c r="G480" s="577"/>
      <c r="H480" s="577"/>
      <c r="I480" s="577"/>
      <c r="J480" s="513"/>
    </row>
    <row r="481" customHeight="1" spans="1:10">
      <c r="A481" s="680"/>
      <c r="B481" s="681"/>
      <c r="C481" s="681"/>
      <c r="D481" s="577"/>
      <c r="E481" s="577"/>
      <c r="F481" s="577"/>
      <c r="G481" s="577"/>
      <c r="H481" s="577"/>
      <c r="I481" s="577"/>
      <c r="J481" s="513"/>
    </row>
    <row r="482" customHeight="1" spans="1:10">
      <c r="A482" s="680"/>
      <c r="B482" s="681"/>
      <c r="C482" s="681"/>
      <c r="D482" s="577"/>
      <c r="E482" s="577"/>
      <c r="F482" s="577"/>
      <c r="G482" s="577"/>
      <c r="H482" s="577"/>
      <c r="I482" s="577"/>
      <c r="J482" s="513"/>
    </row>
    <row r="483" customHeight="1" spans="1:10">
      <c r="A483" s="680"/>
      <c r="B483" s="681"/>
      <c r="C483" s="681"/>
      <c r="D483" s="577"/>
      <c r="E483" s="577"/>
      <c r="F483" s="577"/>
      <c r="G483" s="577"/>
      <c r="H483" s="577"/>
      <c r="I483" s="577"/>
      <c r="J483" s="513"/>
    </row>
    <row r="484" customHeight="1" spans="1:10">
      <c r="A484" s="680"/>
      <c r="B484" s="681"/>
      <c r="C484" s="681"/>
      <c r="D484" s="577"/>
      <c r="E484" s="577"/>
      <c r="F484" s="577"/>
      <c r="G484" s="577"/>
      <c r="H484" s="577"/>
      <c r="I484" s="577"/>
      <c r="J484" s="513"/>
    </row>
    <row r="485" customHeight="1" spans="1:10">
      <c r="A485" s="680"/>
      <c r="B485" s="681"/>
      <c r="C485" s="681"/>
      <c r="D485" s="577"/>
      <c r="E485" s="577"/>
      <c r="F485" s="577"/>
      <c r="G485" s="577"/>
      <c r="H485" s="577"/>
      <c r="I485" s="577"/>
      <c r="J485" s="513"/>
    </row>
    <row r="486" customHeight="1" spans="1:10">
      <c r="A486" s="680"/>
      <c r="B486" s="681"/>
      <c r="C486" s="681"/>
      <c r="D486" s="577"/>
      <c r="E486" s="577"/>
      <c r="F486" s="577"/>
      <c r="G486" s="577"/>
      <c r="H486" s="577"/>
      <c r="I486" s="577"/>
      <c r="J486" s="513"/>
    </row>
    <row r="487" customHeight="1" spans="1:10">
      <c r="A487" s="680"/>
      <c r="B487" s="681"/>
      <c r="C487" s="681"/>
      <c r="D487" s="577"/>
      <c r="E487" s="577"/>
      <c r="F487" s="577"/>
      <c r="G487" s="577"/>
      <c r="H487" s="577"/>
      <c r="I487" s="577"/>
      <c r="J487" s="513"/>
    </row>
    <row r="488" customHeight="1" spans="1:10">
      <c r="A488" s="680"/>
      <c r="B488" s="681"/>
      <c r="C488" s="681"/>
      <c r="D488" s="577"/>
      <c r="E488" s="577"/>
      <c r="F488" s="577"/>
      <c r="G488" s="577"/>
      <c r="H488" s="577"/>
      <c r="I488" s="577"/>
      <c r="J488" s="513"/>
    </row>
    <row r="489" customHeight="1" spans="1:10">
      <c r="A489" s="680"/>
      <c r="B489" s="681"/>
      <c r="C489" s="681"/>
      <c r="D489" s="577"/>
      <c r="E489" s="577"/>
      <c r="F489" s="577"/>
      <c r="G489" s="577"/>
      <c r="H489" s="577"/>
      <c r="I489" s="577"/>
      <c r="J489" s="513"/>
    </row>
    <row r="490" customHeight="1" spans="1:10">
      <c r="A490" s="680"/>
      <c r="B490" s="681"/>
      <c r="C490" s="681"/>
      <c r="D490" s="577"/>
      <c r="E490" s="577"/>
      <c r="F490" s="577"/>
      <c r="G490" s="577"/>
      <c r="H490" s="577"/>
      <c r="I490" s="577"/>
      <c r="J490" s="513"/>
    </row>
    <row r="491" customHeight="1" spans="1:10">
      <c r="A491" s="680"/>
      <c r="B491" s="681"/>
      <c r="C491" s="681"/>
      <c r="D491" s="577"/>
      <c r="E491" s="577"/>
      <c r="F491" s="577"/>
      <c r="G491" s="577"/>
      <c r="H491" s="577"/>
      <c r="I491" s="577"/>
      <c r="J491" s="513"/>
    </row>
    <row r="492" customHeight="1" spans="1:10">
      <c r="A492" s="680"/>
      <c r="B492" s="681"/>
      <c r="C492" s="681"/>
      <c r="D492" s="577"/>
      <c r="E492" s="577"/>
      <c r="F492" s="577"/>
      <c r="G492" s="577"/>
      <c r="H492" s="577"/>
      <c r="I492" s="577"/>
      <c r="J492" s="513"/>
    </row>
    <row r="493" customHeight="1" spans="1:10">
      <c r="A493" s="680"/>
      <c r="B493" s="681"/>
      <c r="C493" s="681"/>
      <c r="D493" s="577"/>
      <c r="E493" s="577"/>
      <c r="F493" s="577"/>
      <c r="G493" s="577"/>
      <c r="H493" s="577"/>
      <c r="I493" s="577"/>
      <c r="J493" s="513"/>
    </row>
    <row r="494" customHeight="1" spans="1:10">
      <c r="A494" s="680"/>
      <c r="B494" s="681"/>
      <c r="C494" s="681"/>
      <c r="D494" s="577"/>
      <c r="E494" s="577"/>
      <c r="F494" s="577"/>
      <c r="G494" s="577"/>
      <c r="H494" s="577"/>
      <c r="I494" s="577"/>
      <c r="J494" s="513"/>
    </row>
    <row r="495" customHeight="1" spans="1:10">
      <c r="A495" s="680"/>
      <c r="B495" s="681"/>
      <c r="C495" s="681"/>
      <c r="D495" s="577"/>
      <c r="E495" s="577"/>
      <c r="F495" s="577"/>
      <c r="G495" s="577"/>
      <c r="H495" s="577"/>
      <c r="I495" s="577"/>
      <c r="J495" s="513"/>
    </row>
    <row r="496" customHeight="1" spans="1:10">
      <c r="A496" s="680"/>
      <c r="B496" s="681"/>
      <c r="C496" s="681"/>
      <c r="D496" s="577"/>
      <c r="E496" s="577"/>
      <c r="F496" s="577"/>
      <c r="G496" s="577"/>
      <c r="H496" s="577"/>
      <c r="I496" s="577"/>
      <c r="J496" s="513"/>
    </row>
    <row r="497" customHeight="1" spans="1:10">
      <c r="A497" s="680"/>
      <c r="B497" s="681"/>
      <c r="C497" s="681"/>
      <c r="D497" s="577"/>
      <c r="E497" s="577"/>
      <c r="F497" s="577"/>
      <c r="G497" s="577"/>
      <c r="H497" s="577"/>
      <c r="I497" s="577"/>
      <c r="J497" s="513"/>
    </row>
    <row r="498" customHeight="1" spans="1:10">
      <c r="A498" s="680"/>
      <c r="B498" s="681"/>
      <c r="C498" s="681"/>
      <c r="D498" s="577"/>
      <c r="E498" s="577"/>
      <c r="F498" s="577"/>
      <c r="G498" s="577"/>
      <c r="H498" s="577"/>
      <c r="I498" s="577"/>
      <c r="J498" s="513"/>
    </row>
    <row r="499" customHeight="1" spans="1:10">
      <c r="A499" s="680"/>
      <c r="B499" s="681"/>
      <c r="C499" s="681"/>
      <c r="D499" s="577"/>
      <c r="E499" s="577"/>
      <c r="F499" s="577"/>
      <c r="G499" s="577"/>
      <c r="H499" s="577"/>
      <c r="I499" s="577"/>
      <c r="J499" s="513"/>
    </row>
    <row r="500" customHeight="1" spans="1:10">
      <c r="A500" s="680"/>
      <c r="B500" s="681"/>
      <c r="C500" s="681"/>
      <c r="D500" s="577"/>
      <c r="E500" s="577"/>
      <c r="F500" s="577"/>
      <c r="G500" s="577"/>
      <c r="H500" s="577"/>
      <c r="I500" s="577"/>
      <c r="J500" s="513"/>
    </row>
    <row r="501" customHeight="1" spans="1:10">
      <c r="A501" s="680"/>
      <c r="B501" s="681"/>
      <c r="C501" s="681"/>
      <c r="D501" s="577"/>
      <c r="E501" s="577"/>
      <c r="F501" s="577"/>
      <c r="G501" s="577"/>
      <c r="H501" s="577"/>
      <c r="I501" s="577"/>
      <c r="J501" s="513"/>
    </row>
    <row r="502" customHeight="1" spans="1:10">
      <c r="A502" s="680"/>
      <c r="B502" s="681"/>
      <c r="C502" s="681"/>
      <c r="D502" s="577"/>
      <c r="E502" s="577"/>
      <c r="F502" s="577"/>
      <c r="G502" s="577"/>
      <c r="H502" s="577"/>
      <c r="I502" s="577"/>
      <c r="J502" s="513"/>
    </row>
    <row r="503" customHeight="1" spans="1:10">
      <c r="A503" s="680"/>
      <c r="B503" s="681"/>
      <c r="C503" s="681"/>
      <c r="D503" s="577"/>
      <c r="E503" s="577"/>
      <c r="F503" s="577"/>
      <c r="G503" s="577"/>
      <c r="H503" s="577"/>
      <c r="I503" s="577"/>
      <c r="J503" s="513"/>
    </row>
    <row r="504" customHeight="1" spans="1:10">
      <c r="A504" s="680"/>
      <c r="B504" s="681"/>
      <c r="C504" s="681"/>
      <c r="D504" s="577"/>
      <c r="E504" s="577"/>
      <c r="F504" s="577"/>
      <c r="G504" s="577"/>
      <c r="H504" s="577"/>
      <c r="I504" s="577"/>
      <c r="J504" s="513"/>
    </row>
    <row r="505" customHeight="1" spans="1:10">
      <c r="A505" s="680"/>
      <c r="B505" s="681"/>
      <c r="C505" s="681"/>
      <c r="D505" s="577"/>
      <c r="E505" s="577"/>
      <c r="F505" s="577"/>
      <c r="G505" s="577"/>
      <c r="H505" s="577"/>
      <c r="I505" s="577"/>
      <c r="J505" s="513"/>
    </row>
    <row r="506" customHeight="1" spans="1:10">
      <c r="A506" s="680"/>
      <c r="B506" s="681"/>
      <c r="C506" s="681"/>
      <c r="D506" s="577"/>
      <c r="E506" s="577"/>
      <c r="F506" s="577"/>
      <c r="G506" s="577"/>
      <c r="H506" s="577"/>
      <c r="I506" s="577"/>
      <c r="J506" s="513"/>
    </row>
    <row r="507" customHeight="1" spans="1:10">
      <c r="A507" s="680"/>
      <c r="B507" s="681"/>
      <c r="C507" s="681"/>
      <c r="D507" s="577"/>
      <c r="E507" s="577"/>
      <c r="F507" s="577"/>
      <c r="G507" s="577"/>
      <c r="H507" s="577"/>
      <c r="I507" s="577"/>
      <c r="J507" s="513"/>
    </row>
    <row r="508" customHeight="1" spans="1:10">
      <c r="A508" s="680"/>
      <c r="B508" s="681"/>
      <c r="C508" s="681"/>
      <c r="D508" s="577"/>
      <c r="E508" s="577"/>
      <c r="F508" s="577"/>
      <c r="G508" s="577"/>
      <c r="H508" s="577"/>
      <c r="I508" s="577"/>
      <c r="J508" s="513"/>
    </row>
    <row r="509" customHeight="1" spans="1:10">
      <c r="A509" s="680"/>
      <c r="B509" s="681"/>
      <c r="C509" s="681"/>
      <c r="D509" s="577"/>
      <c r="E509" s="577"/>
      <c r="F509" s="577"/>
      <c r="G509" s="577"/>
      <c r="H509" s="577"/>
      <c r="I509" s="577"/>
      <c r="J509" s="513"/>
    </row>
    <row r="510" customHeight="1" spans="1:10">
      <c r="A510" s="680"/>
      <c r="B510" s="681"/>
      <c r="C510" s="681"/>
      <c r="D510" s="577"/>
      <c r="E510" s="577"/>
      <c r="F510" s="577"/>
      <c r="G510" s="577"/>
      <c r="H510" s="577"/>
      <c r="I510" s="577"/>
      <c r="J510" s="513"/>
    </row>
    <row r="511" customHeight="1" spans="1:10">
      <c r="A511" s="680"/>
      <c r="B511" s="681"/>
      <c r="C511" s="681"/>
      <c r="D511" s="577"/>
      <c r="E511" s="577"/>
      <c r="F511" s="577"/>
      <c r="G511" s="577"/>
      <c r="H511" s="577"/>
      <c r="I511" s="577"/>
      <c r="J511" s="513"/>
    </row>
    <row r="512" customHeight="1" spans="1:10">
      <c r="A512" s="680"/>
      <c r="B512" s="681"/>
      <c r="C512" s="681"/>
      <c r="D512" s="577"/>
      <c r="E512" s="577"/>
      <c r="F512" s="577"/>
      <c r="G512" s="577"/>
      <c r="H512" s="577"/>
      <c r="I512" s="577"/>
      <c r="J512" s="513"/>
    </row>
    <row r="513" customHeight="1" spans="1:10">
      <c r="A513" s="680"/>
      <c r="B513" s="681"/>
      <c r="C513" s="681"/>
      <c r="D513" s="577"/>
      <c r="E513" s="577"/>
      <c r="F513" s="577"/>
      <c r="G513" s="577"/>
      <c r="H513" s="577"/>
      <c r="I513" s="577"/>
      <c r="J513" s="513"/>
    </row>
    <row r="514" customHeight="1" spans="1:10">
      <c r="A514" s="680"/>
      <c r="B514" s="681"/>
      <c r="C514" s="681"/>
      <c r="D514" s="577"/>
      <c r="E514" s="577"/>
      <c r="F514" s="577"/>
      <c r="G514" s="577"/>
      <c r="H514" s="577"/>
      <c r="I514" s="577"/>
      <c r="J514" s="513"/>
    </row>
    <row r="515" customHeight="1" spans="1:10">
      <c r="A515" s="680"/>
      <c r="B515" s="681"/>
      <c r="C515" s="681"/>
      <c r="D515" s="577"/>
      <c r="E515" s="577"/>
      <c r="F515" s="577"/>
      <c r="G515" s="577"/>
      <c r="H515" s="577"/>
      <c r="I515" s="577"/>
      <c r="J515" s="513"/>
    </row>
    <row r="516" customHeight="1" spans="1:10">
      <c r="A516" s="680"/>
      <c r="B516" s="681"/>
      <c r="C516" s="681"/>
      <c r="D516" s="577"/>
      <c r="E516" s="577"/>
      <c r="F516" s="577"/>
      <c r="G516" s="577"/>
      <c r="H516" s="577"/>
      <c r="I516" s="577"/>
      <c r="J516" s="513"/>
    </row>
    <row r="517" customHeight="1" spans="1:10">
      <c r="A517" s="680"/>
      <c r="B517" s="681"/>
      <c r="C517" s="681"/>
      <c r="D517" s="577"/>
      <c r="E517" s="577"/>
      <c r="F517" s="577"/>
      <c r="G517" s="577"/>
      <c r="H517" s="577"/>
      <c r="I517" s="577"/>
      <c r="J517" s="513"/>
    </row>
    <row r="518" customHeight="1" spans="1:10">
      <c r="A518" s="680"/>
      <c r="B518" s="681"/>
      <c r="C518" s="681"/>
      <c r="D518" s="577"/>
      <c r="E518" s="577"/>
      <c r="F518" s="577"/>
      <c r="G518" s="577"/>
      <c r="H518" s="577"/>
      <c r="I518" s="577"/>
      <c r="J518" s="513"/>
    </row>
    <row r="519" customHeight="1" spans="1:10">
      <c r="A519" s="680"/>
      <c r="B519" s="681"/>
      <c r="C519" s="681"/>
      <c r="D519" s="577"/>
      <c r="E519" s="577"/>
      <c r="F519" s="577"/>
      <c r="G519" s="577"/>
      <c r="H519" s="577"/>
      <c r="I519" s="577"/>
      <c r="J519" s="513"/>
    </row>
    <row r="520" customHeight="1" spans="1:10">
      <c r="A520" s="680"/>
      <c r="B520" s="681"/>
      <c r="C520" s="681"/>
      <c r="D520" s="577"/>
      <c r="E520" s="577"/>
      <c r="F520" s="577"/>
      <c r="G520" s="577"/>
      <c r="H520" s="577"/>
      <c r="I520" s="577"/>
      <c r="J520" s="513"/>
    </row>
    <row r="521" customHeight="1" spans="1:10">
      <c r="A521" s="680"/>
      <c r="B521" s="681"/>
      <c r="C521" s="681"/>
      <c r="D521" s="577"/>
      <c r="E521" s="577"/>
      <c r="F521" s="577"/>
      <c r="G521" s="577"/>
      <c r="H521" s="577"/>
      <c r="I521" s="577"/>
      <c r="J521" s="513"/>
    </row>
    <row r="522" customHeight="1" spans="1:10">
      <c r="A522" s="680"/>
      <c r="B522" s="681"/>
      <c r="C522" s="681"/>
      <c r="D522" s="577"/>
      <c r="E522" s="577"/>
      <c r="F522" s="577"/>
      <c r="G522" s="577"/>
      <c r="H522" s="577"/>
      <c r="I522" s="577"/>
      <c r="J522" s="513"/>
    </row>
    <row r="523" customHeight="1" spans="1:10">
      <c r="A523" s="680"/>
      <c r="B523" s="681"/>
      <c r="C523" s="681"/>
      <c r="D523" s="577"/>
      <c r="E523" s="577"/>
      <c r="F523" s="577"/>
      <c r="G523" s="577"/>
      <c r="H523" s="577"/>
      <c r="I523" s="577"/>
      <c r="J523" s="513"/>
    </row>
    <row r="524" customHeight="1" spans="1:10">
      <c r="A524" s="680"/>
      <c r="B524" s="681"/>
      <c r="C524" s="681"/>
      <c r="D524" s="577"/>
      <c r="E524" s="577"/>
      <c r="F524" s="577"/>
      <c r="G524" s="577"/>
      <c r="H524" s="577"/>
      <c r="I524" s="577"/>
      <c r="J524" s="513"/>
    </row>
    <row r="525" customHeight="1" spans="1:10">
      <c r="A525" s="680"/>
      <c r="B525" s="681"/>
      <c r="C525" s="681"/>
      <c r="D525" s="577"/>
      <c r="E525" s="577"/>
      <c r="F525" s="577"/>
      <c r="G525" s="577"/>
      <c r="H525" s="577"/>
      <c r="I525" s="577"/>
      <c r="J525" s="513"/>
    </row>
    <row r="526" customHeight="1" spans="1:10">
      <c r="A526" s="680"/>
      <c r="B526" s="681"/>
      <c r="C526" s="681"/>
      <c r="D526" s="577"/>
      <c r="E526" s="577"/>
      <c r="F526" s="577"/>
      <c r="G526" s="577"/>
      <c r="H526" s="577"/>
      <c r="I526" s="577"/>
      <c r="J526" s="513"/>
    </row>
    <row r="527" customHeight="1" spans="1:10">
      <c r="A527" s="680"/>
      <c r="B527" s="681"/>
      <c r="C527" s="681"/>
      <c r="D527" s="577"/>
      <c r="E527" s="577"/>
      <c r="F527" s="577"/>
      <c r="G527" s="577"/>
      <c r="H527" s="577"/>
      <c r="I527" s="577"/>
      <c r="J527" s="513"/>
    </row>
    <row r="528" customHeight="1" spans="1:10">
      <c r="A528" s="680"/>
      <c r="B528" s="681"/>
      <c r="C528" s="681"/>
      <c r="D528" s="577"/>
      <c r="E528" s="577"/>
      <c r="F528" s="577"/>
      <c r="G528" s="577"/>
      <c r="H528" s="577"/>
      <c r="I528" s="577"/>
      <c r="J528" s="513"/>
    </row>
    <row r="529" customHeight="1" spans="1:10">
      <c r="A529" s="680"/>
      <c r="B529" s="681"/>
      <c r="C529" s="681"/>
      <c r="D529" s="577"/>
      <c r="E529" s="577"/>
      <c r="F529" s="577"/>
      <c r="G529" s="577"/>
      <c r="H529" s="577"/>
      <c r="I529" s="577"/>
      <c r="J529" s="513"/>
    </row>
    <row r="530" customHeight="1" spans="1:10">
      <c r="A530" s="680"/>
      <c r="B530" s="681"/>
      <c r="C530" s="681"/>
      <c r="D530" s="577"/>
      <c r="E530" s="577"/>
      <c r="F530" s="577"/>
      <c r="G530" s="577"/>
      <c r="H530" s="577"/>
      <c r="I530" s="577"/>
      <c r="J530" s="513"/>
    </row>
    <row r="531" customHeight="1" spans="1:10">
      <c r="A531" s="680"/>
      <c r="B531" s="681"/>
      <c r="C531" s="681"/>
      <c r="D531" s="577"/>
      <c r="E531" s="577"/>
      <c r="F531" s="577"/>
      <c r="G531" s="577"/>
      <c r="H531" s="577"/>
      <c r="I531" s="577"/>
      <c r="J531" s="513"/>
    </row>
    <row r="532" customHeight="1" spans="1:10">
      <c r="A532" s="680"/>
      <c r="B532" s="681"/>
      <c r="C532" s="681"/>
      <c r="D532" s="577"/>
      <c r="E532" s="577"/>
      <c r="F532" s="577"/>
      <c r="G532" s="577"/>
      <c r="H532" s="577"/>
      <c r="I532" s="577"/>
      <c r="J532" s="513"/>
    </row>
    <row r="533" customHeight="1" spans="1:10">
      <c r="A533" s="680"/>
      <c r="B533" s="681"/>
      <c r="C533" s="681"/>
      <c r="D533" s="577"/>
      <c r="E533" s="577"/>
      <c r="F533" s="577"/>
      <c r="G533" s="577"/>
      <c r="H533" s="577"/>
      <c r="I533" s="577"/>
      <c r="J533" s="513"/>
    </row>
    <row r="534" customHeight="1" spans="1:10">
      <c r="A534" s="680"/>
      <c r="B534" s="681"/>
      <c r="C534" s="681"/>
      <c r="D534" s="577"/>
      <c r="E534" s="577"/>
      <c r="F534" s="577"/>
      <c r="G534" s="577"/>
      <c r="H534" s="577"/>
      <c r="I534" s="577"/>
      <c r="J534" s="513"/>
    </row>
    <row r="535" customHeight="1" spans="1:10">
      <c r="A535" s="680"/>
      <c r="B535" s="681"/>
      <c r="C535" s="681"/>
      <c r="D535" s="577"/>
      <c r="E535" s="577"/>
      <c r="F535" s="577"/>
      <c r="G535" s="577"/>
      <c r="H535" s="577"/>
      <c r="I535" s="577"/>
      <c r="J535" s="513"/>
    </row>
    <row r="536" customHeight="1" spans="1:10">
      <c r="A536" s="680"/>
      <c r="B536" s="681"/>
      <c r="C536" s="681"/>
      <c r="D536" s="577"/>
      <c r="E536" s="577"/>
      <c r="F536" s="577"/>
      <c r="G536" s="577"/>
      <c r="H536" s="577"/>
      <c r="I536" s="577"/>
      <c r="J536" s="513"/>
    </row>
    <row r="537" customHeight="1" spans="1:10">
      <c r="A537" s="680"/>
      <c r="B537" s="681"/>
      <c r="C537" s="681"/>
      <c r="D537" s="577"/>
      <c r="E537" s="577"/>
      <c r="F537" s="577"/>
      <c r="G537" s="577"/>
      <c r="H537" s="577"/>
      <c r="I537" s="577"/>
      <c r="J537" s="513"/>
    </row>
    <row r="538" customHeight="1" spans="1:10">
      <c r="A538" s="680"/>
      <c r="B538" s="681"/>
      <c r="C538" s="681"/>
      <c r="D538" s="577"/>
      <c r="E538" s="577"/>
      <c r="F538" s="577"/>
      <c r="G538" s="577"/>
      <c r="H538" s="577"/>
      <c r="I538" s="577"/>
      <c r="J538" s="513"/>
    </row>
    <row r="539" customHeight="1" spans="1:10">
      <c r="A539" s="680"/>
      <c r="B539" s="681"/>
      <c r="C539" s="681"/>
      <c r="D539" s="577"/>
      <c r="E539" s="577"/>
      <c r="F539" s="577"/>
      <c r="G539" s="577"/>
      <c r="H539" s="577"/>
      <c r="I539" s="577"/>
      <c r="J539" s="513"/>
    </row>
    <row r="540" customHeight="1" spans="1:10">
      <c r="A540" s="680"/>
      <c r="B540" s="681"/>
      <c r="C540" s="681"/>
      <c r="D540" s="577"/>
      <c r="E540" s="577"/>
      <c r="F540" s="577"/>
      <c r="G540" s="577"/>
      <c r="H540" s="577"/>
      <c r="I540" s="577"/>
      <c r="J540" s="513"/>
    </row>
    <row r="541" customHeight="1" spans="1:10">
      <c r="A541" s="680"/>
      <c r="B541" s="681"/>
      <c r="C541" s="681"/>
      <c r="D541" s="577"/>
      <c r="E541" s="577"/>
      <c r="F541" s="577"/>
      <c r="G541" s="577"/>
      <c r="H541" s="577"/>
      <c r="I541" s="577"/>
      <c r="J541" s="513"/>
    </row>
    <row r="542" customHeight="1" spans="1:10">
      <c r="A542" s="680"/>
      <c r="B542" s="681"/>
      <c r="C542" s="681"/>
      <c r="D542" s="577"/>
      <c r="E542" s="577"/>
      <c r="F542" s="577"/>
      <c r="G542" s="577"/>
      <c r="H542" s="577"/>
      <c r="I542" s="577"/>
      <c r="J542" s="513"/>
    </row>
    <row r="543" customHeight="1" spans="4:10">
      <c r="D543" s="577"/>
      <c r="E543" s="577"/>
      <c r="F543" s="577"/>
      <c r="G543" s="577"/>
      <c r="H543" s="577"/>
      <c r="I543" s="577"/>
      <c r="J543" s="513"/>
    </row>
    <row r="544" customHeight="1" spans="4:10">
      <c r="D544" s="577"/>
      <c r="E544" s="577"/>
      <c r="F544" s="577"/>
      <c r="G544" s="577"/>
      <c r="H544" s="577"/>
      <c r="I544" s="577"/>
      <c r="J544" s="513"/>
    </row>
    <row r="545" customHeight="1" spans="4:10">
      <c r="D545" s="577"/>
      <c r="E545" s="577"/>
      <c r="F545" s="577"/>
      <c r="G545" s="577"/>
      <c r="H545" s="577"/>
      <c r="I545" s="577"/>
      <c r="J545" s="513"/>
    </row>
    <row r="546" customHeight="1" spans="4:10">
      <c r="D546" s="577"/>
      <c r="E546" s="577"/>
      <c r="F546" s="577"/>
      <c r="G546" s="577"/>
      <c r="H546" s="577"/>
      <c r="I546" s="577"/>
      <c r="J546" s="513"/>
    </row>
    <row r="547" customHeight="1" spans="4:10">
      <c r="D547" s="577"/>
      <c r="E547" s="577"/>
      <c r="F547" s="577"/>
      <c r="G547" s="577"/>
      <c r="H547" s="577"/>
      <c r="I547" s="577"/>
      <c r="J547" s="513"/>
    </row>
    <row r="548" customHeight="1" spans="4:10">
      <c r="D548" s="577"/>
      <c r="E548" s="577"/>
      <c r="F548" s="577"/>
      <c r="G548" s="577"/>
      <c r="H548" s="577"/>
      <c r="I548" s="577"/>
      <c r="J548" s="513"/>
    </row>
    <row r="549" customHeight="1" spans="4:10">
      <c r="D549" s="577"/>
      <c r="E549" s="577"/>
      <c r="F549" s="577"/>
      <c r="G549" s="577"/>
      <c r="H549" s="577"/>
      <c r="I549" s="577"/>
      <c r="J549" s="513"/>
    </row>
    <row r="550" customHeight="1" spans="4:10">
      <c r="D550" s="577"/>
      <c r="E550" s="577"/>
      <c r="F550" s="577"/>
      <c r="G550" s="577"/>
      <c r="H550" s="577"/>
      <c r="I550" s="577"/>
      <c r="J550" s="513"/>
    </row>
    <row r="551" customHeight="1" spans="4:10">
      <c r="D551" s="577"/>
      <c r="E551" s="577"/>
      <c r="F551" s="577"/>
      <c r="G551" s="577"/>
      <c r="H551" s="577"/>
      <c r="I551" s="577"/>
      <c r="J551" s="513"/>
    </row>
    <row r="552" customHeight="1" spans="4:10">
      <c r="D552" s="577"/>
      <c r="E552" s="577"/>
      <c r="F552" s="577"/>
      <c r="G552" s="577"/>
      <c r="H552" s="577"/>
      <c r="I552" s="577"/>
      <c r="J552" s="513"/>
    </row>
    <row r="553" customHeight="1" spans="4:10">
      <c r="D553" s="577"/>
      <c r="E553" s="577"/>
      <c r="F553" s="577"/>
      <c r="G553" s="577"/>
      <c r="H553" s="577"/>
      <c r="I553" s="577"/>
      <c r="J553" s="513"/>
    </row>
    <row r="554" customHeight="1" spans="4:10">
      <c r="D554" s="577"/>
      <c r="E554" s="577"/>
      <c r="F554" s="577"/>
      <c r="G554" s="577"/>
      <c r="H554" s="577"/>
      <c r="I554" s="577"/>
      <c r="J554" s="513"/>
    </row>
    <row r="555" customHeight="1" spans="4:10">
      <c r="D555" s="577"/>
      <c r="E555" s="577"/>
      <c r="F555" s="577"/>
      <c r="G555" s="577"/>
      <c r="H555" s="577"/>
      <c r="I555" s="577"/>
      <c r="J555" s="513"/>
    </row>
    <row r="556" customHeight="1" spans="4:10">
      <c r="D556" s="577"/>
      <c r="E556" s="577"/>
      <c r="F556" s="577"/>
      <c r="G556" s="577"/>
      <c r="H556" s="577"/>
      <c r="I556" s="577"/>
      <c r="J556" s="513"/>
    </row>
    <row r="557" customHeight="1" spans="4:10">
      <c r="D557" s="577"/>
      <c r="E557" s="577"/>
      <c r="F557" s="577"/>
      <c r="G557" s="577"/>
      <c r="H557" s="577"/>
      <c r="I557" s="577"/>
      <c r="J557" s="513"/>
    </row>
    <row r="558" customHeight="1" spans="4:10">
      <c r="D558" s="577"/>
      <c r="E558" s="577"/>
      <c r="F558" s="577"/>
      <c r="G558" s="577"/>
      <c r="H558" s="577"/>
      <c r="I558" s="577"/>
      <c r="J558" s="513"/>
    </row>
    <row r="559" customHeight="1" spans="4:10">
      <c r="D559" s="577"/>
      <c r="E559" s="577"/>
      <c r="F559" s="577"/>
      <c r="G559" s="577"/>
      <c r="H559" s="577"/>
      <c r="I559" s="577"/>
      <c r="J559" s="513"/>
    </row>
    <row r="560" customHeight="1" spans="4:10">
      <c r="D560" s="577"/>
      <c r="E560" s="577"/>
      <c r="F560" s="577"/>
      <c r="G560" s="577"/>
      <c r="H560" s="577"/>
      <c r="I560" s="577"/>
      <c r="J560" s="513"/>
    </row>
    <row r="561" customHeight="1" spans="4:10">
      <c r="D561" s="577"/>
      <c r="E561" s="577"/>
      <c r="F561" s="577"/>
      <c r="G561" s="577"/>
      <c r="H561" s="577"/>
      <c r="I561" s="577"/>
      <c r="J561" s="513"/>
    </row>
    <row r="562" customHeight="1" spans="4:10">
      <c r="D562" s="577"/>
      <c r="E562" s="577"/>
      <c r="F562" s="577"/>
      <c r="G562" s="577"/>
      <c r="H562" s="577"/>
      <c r="I562" s="577"/>
      <c r="J562" s="513"/>
    </row>
    <row r="563" customHeight="1" spans="4:10">
      <c r="D563" s="577"/>
      <c r="E563" s="577"/>
      <c r="F563" s="577"/>
      <c r="G563" s="577"/>
      <c r="H563" s="577"/>
      <c r="I563" s="577"/>
      <c r="J563" s="513"/>
    </row>
    <row r="564" customHeight="1" spans="4:10">
      <c r="D564" s="577"/>
      <c r="E564" s="577"/>
      <c r="F564" s="577"/>
      <c r="G564" s="577"/>
      <c r="H564" s="577"/>
      <c r="I564" s="577"/>
      <c r="J564" s="513"/>
    </row>
    <row r="565" customHeight="1" spans="4:10">
      <c r="D565" s="577"/>
      <c r="E565" s="577"/>
      <c r="F565" s="577"/>
      <c r="G565" s="577"/>
      <c r="H565" s="577"/>
      <c r="I565" s="577"/>
      <c r="J565" s="513"/>
    </row>
    <row r="566" customHeight="1" spans="4:10">
      <c r="D566" s="577"/>
      <c r="E566" s="577"/>
      <c r="F566" s="577"/>
      <c r="G566" s="577"/>
      <c r="H566" s="577"/>
      <c r="I566" s="577"/>
      <c r="J566" s="513"/>
    </row>
    <row r="567" customHeight="1" spans="4:10">
      <c r="D567" s="577"/>
      <c r="E567" s="577"/>
      <c r="F567" s="577"/>
      <c r="G567" s="577"/>
      <c r="H567" s="577"/>
      <c r="I567" s="577"/>
      <c r="J567" s="513"/>
    </row>
    <row r="568" customHeight="1" spans="4:10">
      <c r="D568" s="577"/>
      <c r="E568" s="577"/>
      <c r="F568" s="577"/>
      <c r="G568" s="577"/>
      <c r="H568" s="577"/>
      <c r="I568" s="577"/>
      <c r="J568" s="513"/>
    </row>
    <row r="569" customHeight="1" spans="4:10">
      <c r="D569" s="577"/>
      <c r="E569" s="577"/>
      <c r="F569" s="577"/>
      <c r="G569" s="577"/>
      <c r="H569" s="577"/>
      <c r="I569" s="577"/>
      <c r="J569" s="513"/>
    </row>
    <row r="570" customHeight="1" spans="4:10">
      <c r="D570" s="577"/>
      <c r="E570" s="577"/>
      <c r="F570" s="577"/>
      <c r="G570" s="577"/>
      <c r="H570" s="577"/>
      <c r="I570" s="577"/>
      <c r="J570" s="513"/>
    </row>
    <row r="571" customHeight="1" spans="4:10">
      <c r="D571" s="577"/>
      <c r="E571" s="577"/>
      <c r="F571" s="577"/>
      <c r="G571" s="577"/>
      <c r="H571" s="577"/>
      <c r="I571" s="577"/>
      <c r="J571" s="513"/>
    </row>
    <row r="572" customHeight="1" spans="4:10">
      <c r="D572" s="577"/>
      <c r="E572" s="577"/>
      <c r="F572" s="577"/>
      <c r="G572" s="577"/>
      <c r="H572" s="577"/>
      <c r="I572" s="577"/>
      <c r="J572" s="513"/>
    </row>
    <row r="573" customHeight="1" spans="4:10">
      <c r="D573" s="577"/>
      <c r="E573" s="577"/>
      <c r="F573" s="577"/>
      <c r="G573" s="577"/>
      <c r="H573" s="577"/>
      <c r="I573" s="577"/>
      <c r="J573" s="513"/>
    </row>
    <row r="574" customHeight="1" spans="4:10">
      <c r="D574" s="577"/>
      <c r="E574" s="577"/>
      <c r="F574" s="577"/>
      <c r="G574" s="577"/>
      <c r="H574" s="577"/>
      <c r="I574" s="577"/>
      <c r="J574" s="513"/>
    </row>
    <row r="575" customHeight="1" spans="4:10">
      <c r="D575" s="577"/>
      <c r="E575" s="577"/>
      <c r="F575" s="577"/>
      <c r="G575" s="577"/>
      <c r="H575" s="577"/>
      <c r="I575" s="577"/>
      <c r="J575" s="513"/>
    </row>
    <row r="576" customHeight="1" spans="4:10">
      <c r="D576" s="577"/>
      <c r="E576" s="577"/>
      <c r="F576" s="577"/>
      <c r="G576" s="577"/>
      <c r="H576" s="577"/>
      <c r="I576" s="577"/>
      <c r="J576" s="513"/>
    </row>
    <row r="577" customHeight="1" spans="4:10">
      <c r="D577" s="577"/>
      <c r="E577" s="577"/>
      <c r="F577" s="577"/>
      <c r="G577" s="577"/>
      <c r="H577" s="577"/>
      <c r="I577" s="577"/>
      <c r="J577" s="513"/>
    </row>
    <row r="578" customHeight="1" spans="4:10">
      <c r="D578" s="577"/>
      <c r="E578" s="577"/>
      <c r="F578" s="577"/>
      <c r="G578" s="577"/>
      <c r="H578" s="577"/>
      <c r="I578" s="577"/>
      <c r="J578" s="513"/>
    </row>
    <row r="579" customHeight="1" spans="4:10">
      <c r="D579" s="577"/>
      <c r="E579" s="577"/>
      <c r="F579" s="577"/>
      <c r="G579" s="577"/>
      <c r="H579" s="577"/>
      <c r="I579" s="577"/>
      <c r="J579" s="513"/>
    </row>
    <row r="580" customHeight="1" spans="4:10">
      <c r="D580" s="577"/>
      <c r="E580" s="577"/>
      <c r="F580" s="577"/>
      <c r="G580" s="577"/>
      <c r="H580" s="577"/>
      <c r="I580" s="577"/>
      <c r="J580" s="513"/>
    </row>
    <row r="581" customHeight="1" spans="4:10">
      <c r="D581" s="577"/>
      <c r="E581" s="577"/>
      <c r="F581" s="577"/>
      <c r="G581" s="577"/>
      <c r="H581" s="577"/>
      <c r="I581" s="577"/>
      <c r="J581" s="513"/>
    </row>
    <row r="582" customHeight="1" spans="4:10">
      <c r="D582" s="577"/>
      <c r="E582" s="577"/>
      <c r="F582" s="577"/>
      <c r="G582" s="577"/>
      <c r="H582" s="577"/>
      <c r="I582" s="577"/>
      <c r="J582" s="513"/>
    </row>
    <row r="583" customHeight="1" spans="4:10">
      <c r="D583" s="577"/>
      <c r="E583" s="577"/>
      <c r="F583" s="577"/>
      <c r="G583" s="577"/>
      <c r="H583" s="577"/>
      <c r="I583" s="577"/>
      <c r="J583" s="513"/>
    </row>
    <row r="584" customHeight="1" spans="4:10">
      <c r="D584" s="577"/>
      <c r="E584" s="577"/>
      <c r="F584" s="577"/>
      <c r="G584" s="577"/>
      <c r="H584" s="577"/>
      <c r="I584" s="577"/>
      <c r="J584" s="513"/>
    </row>
    <row r="585" customHeight="1" spans="4:10">
      <c r="D585" s="577"/>
      <c r="E585" s="577"/>
      <c r="F585" s="577"/>
      <c r="G585" s="577"/>
      <c r="H585" s="577"/>
      <c r="I585" s="577"/>
      <c r="J585" s="513"/>
    </row>
    <row r="586" customHeight="1" spans="4:10">
      <c r="D586" s="577"/>
      <c r="E586" s="577"/>
      <c r="F586" s="577"/>
      <c r="G586" s="577"/>
      <c r="H586" s="577"/>
      <c r="I586" s="577"/>
      <c r="J586" s="513"/>
    </row>
    <row r="587" customHeight="1" spans="4:10">
      <c r="D587" s="577"/>
      <c r="E587" s="577"/>
      <c r="F587" s="577"/>
      <c r="G587" s="577"/>
      <c r="H587" s="577"/>
      <c r="I587" s="577"/>
      <c r="J587" s="513"/>
    </row>
    <row r="588" customHeight="1" spans="4:10">
      <c r="D588" s="577"/>
      <c r="E588" s="577"/>
      <c r="F588" s="577"/>
      <c r="G588" s="577"/>
      <c r="H588" s="577"/>
      <c r="I588" s="577"/>
      <c r="J588" s="513"/>
    </row>
    <row r="589" customHeight="1" spans="4:10">
      <c r="D589" s="577"/>
      <c r="E589" s="577"/>
      <c r="F589" s="577"/>
      <c r="G589" s="577"/>
      <c r="H589" s="577"/>
      <c r="I589" s="577"/>
      <c r="J589" s="513"/>
    </row>
    <row r="590" customHeight="1" spans="4:10">
      <c r="D590" s="577"/>
      <c r="E590" s="577"/>
      <c r="F590" s="577"/>
      <c r="G590" s="577"/>
      <c r="H590" s="577"/>
      <c r="I590" s="577"/>
      <c r="J590" s="513"/>
    </row>
    <row r="591" customHeight="1" spans="4:10">
      <c r="D591" s="577"/>
      <c r="E591" s="577"/>
      <c r="F591" s="577"/>
      <c r="G591" s="577"/>
      <c r="H591" s="577"/>
      <c r="I591" s="577"/>
      <c r="J591" s="513"/>
    </row>
    <row r="592" customHeight="1" spans="4:10">
      <c r="D592" s="577"/>
      <c r="E592" s="577"/>
      <c r="F592" s="577"/>
      <c r="G592" s="577"/>
      <c r="H592" s="577"/>
      <c r="I592" s="577"/>
      <c r="J592" s="513"/>
    </row>
    <row r="593" customHeight="1" spans="4:10">
      <c r="D593" s="577"/>
      <c r="E593" s="577"/>
      <c r="F593" s="577"/>
      <c r="G593" s="577"/>
      <c r="H593" s="577"/>
      <c r="I593" s="577"/>
      <c r="J593" s="513"/>
    </row>
    <row r="594" customHeight="1" spans="4:10">
      <c r="D594" s="577"/>
      <c r="E594" s="577"/>
      <c r="F594" s="577"/>
      <c r="G594" s="577"/>
      <c r="H594" s="577"/>
      <c r="I594" s="577"/>
      <c r="J594" s="513"/>
    </row>
    <row r="595" customHeight="1" spans="4:10">
      <c r="D595" s="577"/>
      <c r="E595" s="577"/>
      <c r="F595" s="577"/>
      <c r="G595" s="577"/>
      <c r="H595" s="577"/>
      <c r="I595" s="577"/>
      <c r="J595" s="513"/>
    </row>
    <row r="596" customHeight="1" spans="4:10">
      <c r="D596" s="577"/>
      <c r="E596" s="577"/>
      <c r="F596" s="577"/>
      <c r="G596" s="577"/>
      <c r="H596" s="577"/>
      <c r="I596" s="577"/>
      <c r="J596" s="513"/>
    </row>
    <row r="597" customHeight="1" spans="4:10">
      <c r="D597" s="577"/>
      <c r="E597" s="577"/>
      <c r="F597" s="577"/>
      <c r="G597" s="577"/>
      <c r="H597" s="577"/>
      <c r="I597" s="577"/>
      <c r="J597" s="513"/>
    </row>
    <row r="598" customHeight="1" spans="4:10">
      <c r="D598" s="577"/>
      <c r="E598" s="577"/>
      <c r="F598" s="577"/>
      <c r="G598" s="577"/>
      <c r="H598" s="577"/>
      <c r="I598" s="577"/>
      <c r="J598" s="513"/>
    </row>
    <row r="599" customHeight="1" spans="4:10">
      <c r="D599" s="577"/>
      <c r="E599" s="577"/>
      <c r="F599" s="577"/>
      <c r="G599" s="577"/>
      <c r="H599" s="577"/>
      <c r="I599" s="577"/>
      <c r="J599" s="513"/>
    </row>
    <row r="600" customHeight="1" spans="4:10">
      <c r="D600" s="577"/>
      <c r="E600" s="577"/>
      <c r="F600" s="577"/>
      <c r="G600" s="577"/>
      <c r="H600" s="577"/>
      <c r="I600" s="577"/>
      <c r="J600" s="513"/>
    </row>
    <row r="601" customHeight="1" spans="4:10">
      <c r="D601" s="577"/>
      <c r="E601" s="577"/>
      <c r="F601" s="577"/>
      <c r="G601" s="577"/>
      <c r="H601" s="577"/>
      <c r="I601" s="577"/>
      <c r="J601" s="513"/>
    </row>
    <row r="602" customHeight="1" spans="4:10">
      <c r="D602" s="577"/>
      <c r="E602" s="577"/>
      <c r="F602" s="577"/>
      <c r="G602" s="577"/>
      <c r="H602" s="577"/>
      <c r="I602" s="577"/>
      <c r="J602" s="513"/>
    </row>
    <row r="603" customHeight="1" spans="4:10">
      <c r="D603" s="577"/>
      <c r="E603" s="577"/>
      <c r="F603" s="577"/>
      <c r="G603" s="577"/>
      <c r="H603" s="577"/>
      <c r="I603" s="577"/>
      <c r="J603" s="513"/>
    </row>
    <row r="604" customHeight="1" spans="4:10">
      <c r="D604" s="577"/>
      <c r="E604" s="577"/>
      <c r="F604" s="577"/>
      <c r="G604" s="577"/>
      <c r="H604" s="577"/>
      <c r="I604" s="577"/>
      <c r="J604" s="513"/>
    </row>
    <row r="605" customHeight="1" spans="4:10">
      <c r="D605" s="577"/>
      <c r="E605" s="577"/>
      <c r="F605" s="577"/>
      <c r="G605" s="577"/>
      <c r="H605" s="577"/>
      <c r="I605" s="577"/>
      <c r="J605" s="513"/>
    </row>
    <row r="606" customHeight="1" spans="4:10">
      <c r="D606" s="577"/>
      <c r="E606" s="577"/>
      <c r="F606" s="577"/>
      <c r="G606" s="577"/>
      <c r="H606" s="577"/>
      <c r="I606" s="577"/>
      <c r="J606" s="513"/>
    </row>
    <row r="607" customHeight="1" spans="4:10">
      <c r="D607" s="577"/>
      <c r="E607" s="577"/>
      <c r="F607" s="577"/>
      <c r="G607" s="577"/>
      <c r="H607" s="577"/>
      <c r="I607" s="577"/>
      <c r="J607" s="513"/>
    </row>
    <row r="608" customHeight="1" spans="4:10">
      <c r="D608" s="577"/>
      <c r="E608" s="577"/>
      <c r="F608" s="577"/>
      <c r="G608" s="577"/>
      <c r="H608" s="577"/>
      <c r="I608" s="577"/>
      <c r="J608" s="513"/>
    </row>
    <row r="609" customHeight="1" spans="4:10">
      <c r="D609" s="577"/>
      <c r="E609" s="577"/>
      <c r="F609" s="577"/>
      <c r="G609" s="577"/>
      <c r="H609" s="577"/>
      <c r="I609" s="577"/>
      <c r="J609" s="513"/>
    </row>
    <row r="610" customHeight="1" spans="4:10">
      <c r="D610" s="577"/>
      <c r="E610" s="577"/>
      <c r="F610" s="577"/>
      <c r="G610" s="577"/>
      <c r="H610" s="577"/>
      <c r="I610" s="577"/>
      <c r="J610" s="513"/>
    </row>
    <row r="611" customHeight="1" spans="4:10">
      <c r="D611" s="577"/>
      <c r="E611" s="577"/>
      <c r="F611" s="577"/>
      <c r="G611" s="577"/>
      <c r="H611" s="577"/>
      <c r="I611" s="577"/>
      <c r="J611" s="513"/>
    </row>
    <row r="612" customHeight="1" spans="4:10">
      <c r="D612" s="577"/>
      <c r="E612" s="577"/>
      <c r="F612" s="577"/>
      <c r="G612" s="577"/>
      <c r="H612" s="577"/>
      <c r="I612" s="577"/>
      <c r="J612" s="513"/>
    </row>
    <row r="613" customHeight="1" spans="4:10">
      <c r="D613" s="577"/>
      <c r="E613" s="577"/>
      <c r="F613" s="577"/>
      <c r="G613" s="577"/>
      <c r="H613" s="577"/>
      <c r="I613" s="577"/>
      <c r="J613" s="513"/>
    </row>
    <row r="614" customHeight="1" spans="4:10">
      <c r="D614" s="577"/>
      <c r="E614" s="577"/>
      <c r="F614" s="577"/>
      <c r="G614" s="577"/>
      <c r="H614" s="577"/>
      <c r="I614" s="577"/>
      <c r="J614" s="513"/>
    </row>
    <row r="615" customHeight="1" spans="4:10">
      <c r="D615" s="577"/>
      <c r="E615" s="577"/>
      <c r="F615" s="577"/>
      <c r="G615" s="577"/>
      <c r="H615" s="577"/>
      <c r="I615" s="577"/>
      <c r="J615" s="513"/>
    </row>
    <row r="616" customHeight="1" spans="4:10">
      <c r="D616" s="577"/>
      <c r="E616" s="577"/>
      <c r="F616" s="577"/>
      <c r="G616" s="577"/>
      <c r="H616" s="577"/>
      <c r="I616" s="577"/>
      <c r="J616" s="513"/>
    </row>
    <row r="617" customHeight="1" spans="4:10">
      <c r="D617" s="577"/>
      <c r="E617" s="577"/>
      <c r="F617" s="577"/>
      <c r="G617" s="577"/>
      <c r="H617" s="577"/>
      <c r="I617" s="577"/>
      <c r="J617" s="513"/>
    </row>
    <row r="618" customHeight="1" spans="4:10">
      <c r="D618" s="577"/>
      <c r="E618" s="577"/>
      <c r="F618" s="577"/>
      <c r="G618" s="577"/>
      <c r="H618" s="577"/>
      <c r="I618" s="577"/>
      <c r="J618" s="513"/>
    </row>
    <row r="619" customHeight="1" spans="4:10">
      <c r="D619" s="577"/>
      <c r="E619" s="577"/>
      <c r="F619" s="577"/>
      <c r="G619" s="577"/>
      <c r="H619" s="577"/>
      <c r="I619" s="577"/>
      <c r="J619" s="513"/>
    </row>
    <row r="620" customHeight="1" spans="4:10">
      <c r="D620" s="577"/>
      <c r="E620" s="577"/>
      <c r="F620" s="577"/>
      <c r="G620" s="577"/>
      <c r="H620" s="577"/>
      <c r="I620" s="577"/>
      <c r="J620" s="513"/>
    </row>
    <row r="621" customHeight="1" spans="4:10">
      <c r="D621" s="577"/>
      <c r="E621" s="577"/>
      <c r="F621" s="577"/>
      <c r="G621" s="577"/>
      <c r="H621" s="577"/>
      <c r="I621" s="577"/>
      <c r="J621" s="513"/>
    </row>
    <row r="622" customHeight="1" spans="4:10">
      <c r="D622" s="577"/>
      <c r="E622" s="577"/>
      <c r="F622" s="577"/>
      <c r="G622" s="577"/>
      <c r="H622" s="577"/>
      <c r="I622" s="577"/>
      <c r="J622" s="513"/>
    </row>
    <row r="623" customHeight="1" spans="4:10">
      <c r="D623" s="577"/>
      <c r="E623" s="577"/>
      <c r="F623" s="577"/>
      <c r="G623" s="577"/>
      <c r="H623" s="577"/>
      <c r="I623" s="577"/>
      <c r="J623" s="513"/>
    </row>
    <row r="624" customHeight="1" spans="4:10">
      <c r="D624" s="577"/>
      <c r="E624" s="577"/>
      <c r="F624" s="577"/>
      <c r="G624" s="577"/>
      <c r="H624" s="577"/>
      <c r="I624" s="577"/>
      <c r="J624" s="513"/>
    </row>
    <row r="625" customHeight="1" spans="4:10">
      <c r="D625" s="577"/>
      <c r="E625" s="577"/>
      <c r="F625" s="577"/>
      <c r="G625" s="577"/>
      <c r="H625" s="577"/>
      <c r="I625" s="577"/>
      <c r="J625" s="513"/>
    </row>
    <row r="626" customHeight="1" spans="4:10">
      <c r="D626" s="577"/>
      <c r="E626" s="577"/>
      <c r="F626" s="577"/>
      <c r="G626" s="577"/>
      <c r="H626" s="577"/>
      <c r="I626" s="577"/>
      <c r="J626" s="513"/>
    </row>
    <row r="627" customHeight="1" spans="4:10">
      <c r="D627" s="577"/>
      <c r="E627" s="577"/>
      <c r="F627" s="577"/>
      <c r="G627" s="577"/>
      <c r="H627" s="577"/>
      <c r="I627" s="577"/>
      <c r="J627" s="513"/>
    </row>
    <row r="628" customHeight="1" spans="4:10">
      <c r="D628" s="577"/>
      <c r="E628" s="577"/>
      <c r="F628" s="577"/>
      <c r="G628" s="577"/>
      <c r="H628" s="577"/>
      <c r="I628" s="577"/>
      <c r="J628" s="513"/>
    </row>
    <row r="629" customHeight="1" spans="4:10">
      <c r="D629" s="577"/>
      <c r="E629" s="577"/>
      <c r="F629" s="577"/>
      <c r="G629" s="577"/>
      <c r="H629" s="577"/>
      <c r="I629" s="577"/>
      <c r="J629" s="513"/>
    </row>
    <row r="630" customHeight="1" spans="4:10">
      <c r="D630" s="577"/>
      <c r="E630" s="577"/>
      <c r="F630" s="577"/>
      <c r="G630" s="577"/>
      <c r="H630" s="577"/>
      <c r="I630" s="577"/>
      <c r="J630" s="513"/>
    </row>
    <row r="631" customHeight="1" spans="4:10">
      <c r="D631" s="577"/>
      <c r="E631" s="577"/>
      <c r="F631" s="577"/>
      <c r="G631" s="577"/>
      <c r="H631" s="577"/>
      <c r="I631" s="577"/>
      <c r="J631" s="513"/>
    </row>
    <row r="632" customHeight="1" spans="4:10">
      <c r="D632" s="577"/>
      <c r="E632" s="577"/>
      <c r="F632" s="577"/>
      <c r="G632" s="577"/>
      <c r="H632" s="577"/>
      <c r="I632" s="577"/>
      <c r="J632" s="513"/>
    </row>
    <row r="633" customHeight="1" spans="4:10">
      <c r="D633" s="577"/>
      <c r="E633" s="577"/>
      <c r="F633" s="577"/>
      <c r="G633" s="577"/>
      <c r="H633" s="577"/>
      <c r="I633" s="577"/>
      <c r="J633" s="513"/>
    </row>
    <row r="634" customHeight="1" spans="4:10">
      <c r="D634" s="577"/>
      <c r="E634" s="577"/>
      <c r="F634" s="577"/>
      <c r="G634" s="577"/>
      <c r="H634" s="577"/>
      <c r="I634" s="577"/>
      <c r="J634" s="513"/>
    </row>
    <row r="635" customHeight="1" spans="4:10">
      <c r="D635" s="577"/>
      <c r="E635" s="577"/>
      <c r="F635" s="577"/>
      <c r="G635" s="577"/>
      <c r="H635" s="577"/>
      <c r="I635" s="577"/>
      <c r="J635" s="513"/>
    </row>
    <row r="636" customHeight="1" spans="4:10">
      <c r="D636" s="577"/>
      <c r="E636" s="577"/>
      <c r="F636" s="577"/>
      <c r="G636" s="577"/>
      <c r="H636" s="577"/>
      <c r="I636" s="577"/>
      <c r="J636" s="513"/>
    </row>
    <row r="637" customHeight="1" spans="4:10">
      <c r="D637" s="577"/>
      <c r="E637" s="577"/>
      <c r="F637" s="577"/>
      <c r="G637" s="577"/>
      <c r="H637" s="577"/>
      <c r="I637" s="577"/>
      <c r="J637" s="513"/>
    </row>
    <row r="638" customHeight="1" spans="4:10">
      <c r="D638" s="577"/>
      <c r="E638" s="577"/>
      <c r="F638" s="577"/>
      <c r="G638" s="577"/>
      <c r="H638" s="577"/>
      <c r="I638" s="577"/>
      <c r="J638" s="513"/>
    </row>
    <row r="639" customHeight="1" spans="4:10">
      <c r="D639" s="577"/>
      <c r="E639" s="577"/>
      <c r="F639" s="577"/>
      <c r="G639" s="577"/>
      <c r="H639" s="577"/>
      <c r="I639" s="577"/>
      <c r="J639" s="513"/>
    </row>
    <row r="640" customHeight="1" spans="4:10">
      <c r="D640" s="577"/>
      <c r="E640" s="577"/>
      <c r="F640" s="577"/>
      <c r="G640" s="577"/>
      <c r="H640" s="577"/>
      <c r="I640" s="577"/>
      <c r="J640" s="513"/>
    </row>
    <row r="641" customHeight="1" spans="4:10">
      <c r="D641" s="577"/>
      <c r="E641" s="577"/>
      <c r="F641" s="577"/>
      <c r="G641" s="577"/>
      <c r="H641" s="577"/>
      <c r="I641" s="577"/>
      <c r="J641" s="513"/>
    </row>
    <row r="642" customHeight="1" spans="4:10">
      <c r="D642" s="577"/>
      <c r="E642" s="577"/>
      <c r="F642" s="577"/>
      <c r="G642" s="577"/>
      <c r="H642" s="577"/>
      <c r="I642" s="577"/>
      <c r="J642" s="513"/>
    </row>
    <row r="643" customHeight="1" spans="4:10">
      <c r="D643" s="577"/>
      <c r="E643" s="577"/>
      <c r="F643" s="577"/>
      <c r="G643" s="577"/>
      <c r="H643" s="577"/>
      <c r="I643" s="577"/>
      <c r="J643" s="513"/>
    </row>
    <row r="644" customHeight="1" spans="4:10">
      <c r="D644" s="577"/>
      <c r="E644" s="577"/>
      <c r="F644" s="577"/>
      <c r="G644" s="577"/>
      <c r="H644" s="577"/>
      <c r="I644" s="577"/>
      <c r="J644" s="513"/>
    </row>
    <row r="645" customHeight="1" spans="4:10">
      <c r="D645" s="577"/>
      <c r="E645" s="577"/>
      <c r="F645" s="577"/>
      <c r="G645" s="577"/>
      <c r="H645" s="577"/>
      <c r="I645" s="577"/>
      <c r="J645" s="513"/>
    </row>
    <row r="646" customHeight="1" spans="4:10">
      <c r="D646" s="577"/>
      <c r="E646" s="577"/>
      <c r="F646" s="577"/>
      <c r="G646" s="577"/>
      <c r="H646" s="577"/>
      <c r="I646" s="577"/>
      <c r="J646" s="513"/>
    </row>
    <row r="647" customHeight="1" spans="4:10">
      <c r="D647" s="577"/>
      <c r="E647" s="577"/>
      <c r="F647" s="577"/>
      <c r="G647" s="577"/>
      <c r="H647" s="577"/>
      <c r="I647" s="577"/>
      <c r="J647" s="513"/>
    </row>
    <row r="648" customHeight="1" spans="4:10">
      <c r="D648" s="577"/>
      <c r="E648" s="577"/>
      <c r="F648" s="577"/>
      <c r="G648" s="577"/>
      <c r="H648" s="577"/>
      <c r="I648" s="577"/>
      <c r="J648" s="513"/>
    </row>
    <row r="649" customHeight="1" spans="4:10">
      <c r="D649" s="577"/>
      <c r="E649" s="577"/>
      <c r="F649" s="577"/>
      <c r="G649" s="577"/>
      <c r="H649" s="577"/>
      <c r="I649" s="577"/>
      <c r="J649" s="513"/>
    </row>
    <row r="650" customHeight="1" spans="4:10">
      <c r="D650" s="577"/>
      <c r="E650" s="577"/>
      <c r="F650" s="577"/>
      <c r="G650" s="577"/>
      <c r="H650" s="577"/>
      <c r="I650" s="577"/>
      <c r="J650" s="513"/>
    </row>
    <row r="651" customHeight="1" spans="4:10">
      <c r="D651" s="577"/>
      <c r="E651" s="577"/>
      <c r="F651" s="577"/>
      <c r="G651" s="577"/>
      <c r="H651" s="577"/>
      <c r="I651" s="577"/>
      <c r="J651" s="513"/>
    </row>
    <row r="652" customHeight="1" spans="4:10">
      <c r="D652" s="577"/>
      <c r="E652" s="577"/>
      <c r="F652" s="577"/>
      <c r="G652" s="577"/>
      <c r="H652" s="577"/>
      <c r="I652" s="577"/>
      <c r="J652" s="513"/>
    </row>
    <row r="653" customHeight="1" spans="4:10">
      <c r="D653" s="577"/>
      <c r="E653" s="577"/>
      <c r="F653" s="577"/>
      <c r="G653" s="577"/>
      <c r="H653" s="577"/>
      <c r="I653" s="577"/>
      <c r="J653" s="513"/>
    </row>
    <row r="654" customHeight="1" spans="4:10">
      <c r="D654" s="577"/>
      <c r="E654" s="577"/>
      <c r="F654" s="577"/>
      <c r="G654" s="577"/>
      <c r="H654" s="577"/>
      <c r="I654" s="577"/>
      <c r="J654" s="513"/>
    </row>
    <row r="655" customHeight="1" spans="4:10">
      <c r="D655" s="577"/>
      <c r="E655" s="577"/>
      <c r="F655" s="577"/>
      <c r="G655" s="577"/>
      <c r="H655" s="577"/>
      <c r="I655" s="577"/>
      <c r="J655" s="513"/>
    </row>
    <row r="656" customHeight="1" spans="4:10">
      <c r="D656" s="577"/>
      <c r="E656" s="577"/>
      <c r="F656" s="577"/>
      <c r="G656" s="577"/>
      <c r="H656" s="577"/>
      <c r="I656" s="577"/>
      <c r="J656" s="513"/>
    </row>
    <row r="657" customHeight="1" spans="4:10">
      <c r="D657" s="577"/>
      <c r="E657" s="577"/>
      <c r="F657" s="577"/>
      <c r="G657" s="577"/>
      <c r="H657" s="577"/>
      <c r="I657" s="577"/>
      <c r="J657" s="513"/>
    </row>
    <row r="658" customHeight="1" spans="4:10">
      <c r="D658" s="577"/>
      <c r="E658" s="577"/>
      <c r="F658" s="577"/>
      <c r="G658" s="577"/>
      <c r="H658" s="577"/>
      <c r="I658" s="577"/>
      <c r="J658" s="513"/>
    </row>
    <row r="659" customHeight="1" spans="4:10">
      <c r="D659" s="577"/>
      <c r="E659" s="577"/>
      <c r="F659" s="577"/>
      <c r="G659" s="577"/>
      <c r="H659" s="577"/>
      <c r="I659" s="577"/>
      <c r="J659" s="513"/>
    </row>
    <row r="660" customHeight="1" spans="4:10">
      <c r="D660" s="577"/>
      <c r="E660" s="577"/>
      <c r="F660" s="577"/>
      <c r="G660" s="577"/>
      <c r="H660" s="577"/>
      <c r="I660" s="577"/>
      <c r="J660" s="513"/>
    </row>
    <row r="661" customHeight="1" spans="4:10">
      <c r="D661" s="577"/>
      <c r="E661" s="577"/>
      <c r="F661" s="577"/>
      <c r="G661" s="577"/>
      <c r="H661" s="577"/>
      <c r="I661" s="577"/>
      <c r="J661" s="513"/>
    </row>
    <row r="662" customHeight="1" spans="4:10">
      <c r="D662" s="577"/>
      <c r="E662" s="577"/>
      <c r="F662" s="577"/>
      <c r="G662" s="577"/>
      <c r="H662" s="577"/>
      <c r="I662" s="577"/>
      <c r="J662" s="513"/>
    </row>
    <row r="663" customHeight="1" spans="4:10">
      <c r="D663" s="577"/>
      <c r="E663" s="577"/>
      <c r="F663" s="577"/>
      <c r="G663" s="577"/>
      <c r="H663" s="577"/>
      <c r="I663" s="577"/>
      <c r="J663" s="513"/>
    </row>
    <row r="664" customHeight="1" spans="4:10">
      <c r="D664" s="577"/>
      <c r="E664" s="577"/>
      <c r="F664" s="577"/>
      <c r="G664" s="577"/>
      <c r="H664" s="577"/>
      <c r="I664" s="577"/>
      <c r="J664" s="513"/>
    </row>
    <row r="665" customHeight="1" spans="4:10">
      <c r="D665" s="577"/>
      <c r="E665" s="577"/>
      <c r="F665" s="577"/>
      <c r="G665" s="577"/>
      <c r="H665" s="577"/>
      <c r="I665" s="577"/>
      <c r="J665" s="513"/>
    </row>
    <row r="666" customHeight="1" spans="4:10">
      <c r="D666" s="577"/>
      <c r="E666" s="577"/>
      <c r="F666" s="577"/>
      <c r="G666" s="577"/>
      <c r="H666" s="577"/>
      <c r="I666" s="577"/>
      <c r="J666" s="513"/>
    </row>
    <row r="667" customHeight="1" spans="4:10">
      <c r="D667" s="577"/>
      <c r="E667" s="577"/>
      <c r="F667" s="577"/>
      <c r="G667" s="577"/>
      <c r="H667" s="577"/>
      <c r="I667" s="577"/>
      <c r="J667" s="513"/>
    </row>
    <row r="668" customHeight="1" spans="4:10">
      <c r="D668" s="577"/>
      <c r="E668" s="577"/>
      <c r="F668" s="577"/>
      <c r="G668" s="577"/>
      <c r="H668" s="577"/>
      <c r="I668" s="577"/>
      <c r="J668" s="513"/>
    </row>
    <row r="669" customHeight="1" spans="4:10">
      <c r="D669" s="577"/>
      <c r="E669" s="577"/>
      <c r="F669" s="577"/>
      <c r="G669" s="577"/>
      <c r="H669" s="577"/>
      <c r="I669" s="577"/>
      <c r="J669" s="513"/>
    </row>
    <row r="670" customHeight="1" spans="4:10">
      <c r="D670" s="577"/>
      <c r="E670" s="577"/>
      <c r="F670" s="577"/>
      <c r="G670" s="577"/>
      <c r="H670" s="577"/>
      <c r="I670" s="577"/>
      <c r="J670" s="513"/>
    </row>
    <row r="671" customHeight="1" spans="4:10">
      <c r="D671" s="577"/>
      <c r="E671" s="577"/>
      <c r="F671" s="577"/>
      <c r="G671" s="577"/>
      <c r="H671" s="577"/>
      <c r="I671" s="577"/>
      <c r="J671" s="513"/>
    </row>
    <row r="672" customHeight="1" spans="4:10">
      <c r="D672" s="577"/>
      <c r="E672" s="577"/>
      <c r="F672" s="577"/>
      <c r="G672" s="577"/>
      <c r="H672" s="577"/>
      <c r="I672" s="577"/>
      <c r="J672" s="513"/>
    </row>
    <row r="673" customHeight="1" spans="4:10">
      <c r="D673" s="577"/>
      <c r="E673" s="577"/>
      <c r="F673" s="577"/>
      <c r="G673" s="577"/>
      <c r="H673" s="577"/>
      <c r="I673" s="577"/>
      <c r="J673" s="513"/>
    </row>
    <row r="674" customHeight="1" spans="4:10">
      <c r="D674" s="577"/>
      <c r="E674" s="577"/>
      <c r="F674" s="577"/>
      <c r="G674" s="577"/>
      <c r="H674" s="577"/>
      <c r="I674" s="577"/>
      <c r="J674" s="513"/>
    </row>
    <row r="675" customHeight="1" spans="4:10">
      <c r="D675" s="577"/>
      <c r="E675" s="577"/>
      <c r="F675" s="577"/>
      <c r="G675" s="577"/>
      <c r="H675" s="577"/>
      <c r="I675" s="577"/>
      <c r="J675" s="513"/>
    </row>
    <row r="676" customHeight="1" spans="4:10">
      <c r="D676" s="577"/>
      <c r="E676" s="577"/>
      <c r="F676" s="577"/>
      <c r="G676" s="577"/>
      <c r="H676" s="577"/>
      <c r="I676" s="577"/>
      <c r="J676" s="513"/>
    </row>
    <row r="677" customHeight="1" spans="4:10">
      <c r="D677" s="577"/>
      <c r="E677" s="577"/>
      <c r="F677" s="577"/>
      <c r="G677" s="577"/>
      <c r="H677" s="577"/>
      <c r="I677" s="577"/>
      <c r="J677" s="513"/>
    </row>
    <row r="678" customHeight="1" spans="4:10">
      <c r="D678" s="577"/>
      <c r="E678" s="577"/>
      <c r="F678" s="577"/>
      <c r="G678" s="577"/>
      <c r="H678" s="577"/>
      <c r="I678" s="577"/>
      <c r="J678" s="513"/>
    </row>
    <row r="679" customHeight="1" spans="4:10">
      <c r="D679" s="577"/>
      <c r="E679" s="577"/>
      <c r="F679" s="577"/>
      <c r="G679" s="577"/>
      <c r="H679" s="577"/>
      <c r="I679" s="577"/>
      <c r="J679" s="513"/>
    </row>
    <row r="680" customHeight="1" spans="4:10">
      <c r="D680" s="577"/>
      <c r="E680" s="577"/>
      <c r="F680" s="577"/>
      <c r="G680" s="577"/>
      <c r="H680" s="577"/>
      <c r="I680" s="577"/>
      <c r="J680" s="513"/>
    </row>
    <row r="681" customHeight="1" spans="4:10">
      <c r="D681" s="577"/>
      <c r="E681" s="577"/>
      <c r="F681" s="577"/>
      <c r="G681" s="577"/>
      <c r="H681" s="577"/>
      <c r="I681" s="577"/>
      <c r="J681" s="513"/>
    </row>
    <row r="682" customHeight="1" spans="4:10">
      <c r="D682" s="577"/>
      <c r="E682" s="577"/>
      <c r="F682" s="577"/>
      <c r="G682" s="577"/>
      <c r="H682" s="577"/>
      <c r="I682" s="577"/>
      <c r="J682" s="513"/>
    </row>
    <row r="683" customHeight="1" spans="4:10">
      <c r="D683" s="577"/>
      <c r="E683" s="577"/>
      <c r="F683" s="577"/>
      <c r="G683" s="577"/>
      <c r="H683" s="577"/>
      <c r="I683" s="577"/>
      <c r="J683" s="513"/>
    </row>
    <row r="684" customHeight="1" spans="4:10">
      <c r="D684" s="577"/>
      <c r="E684" s="577"/>
      <c r="F684" s="577"/>
      <c r="G684" s="577"/>
      <c r="H684" s="577"/>
      <c r="I684" s="577"/>
      <c r="J684" s="513"/>
    </row>
    <row r="685" customHeight="1" spans="4:10">
      <c r="D685" s="577"/>
      <c r="E685" s="577"/>
      <c r="F685" s="577"/>
      <c r="G685" s="577"/>
      <c r="H685" s="577"/>
      <c r="I685" s="577"/>
      <c r="J685" s="513"/>
    </row>
    <row r="686" customHeight="1" spans="4:10">
      <c r="D686" s="577"/>
      <c r="E686" s="577"/>
      <c r="F686" s="577"/>
      <c r="G686" s="577"/>
      <c r="H686" s="577"/>
      <c r="I686" s="577"/>
      <c r="J686" s="513"/>
    </row>
    <row r="687" customHeight="1" spans="4:10">
      <c r="D687" s="577"/>
      <c r="E687" s="577"/>
      <c r="F687" s="577"/>
      <c r="G687" s="577"/>
      <c r="H687" s="577"/>
      <c r="I687" s="577"/>
      <c r="J687" s="513"/>
    </row>
    <row r="688" customHeight="1" spans="4:10">
      <c r="D688" s="577"/>
      <c r="E688" s="577"/>
      <c r="F688" s="577"/>
      <c r="G688" s="577"/>
      <c r="H688" s="577"/>
      <c r="I688" s="577"/>
      <c r="J688" s="513"/>
    </row>
    <row r="689" customHeight="1" spans="4:10">
      <c r="D689" s="577"/>
      <c r="E689" s="577"/>
      <c r="F689" s="577"/>
      <c r="G689" s="577"/>
      <c r="H689" s="577"/>
      <c r="I689" s="577"/>
      <c r="J689" s="513"/>
    </row>
    <row r="690" customHeight="1" spans="4:10">
      <c r="D690" s="577"/>
      <c r="E690" s="577"/>
      <c r="F690" s="577"/>
      <c r="G690" s="577"/>
      <c r="H690" s="577"/>
      <c r="I690" s="577"/>
      <c r="J690" s="513"/>
    </row>
    <row r="691" customHeight="1" spans="4:10">
      <c r="D691" s="577"/>
      <c r="E691" s="577"/>
      <c r="F691" s="577"/>
      <c r="G691" s="577"/>
      <c r="H691" s="577"/>
      <c r="I691" s="577"/>
      <c r="J691" s="513"/>
    </row>
    <row r="692" customHeight="1" spans="4:10">
      <c r="D692" s="577"/>
      <c r="E692" s="577"/>
      <c r="F692" s="577"/>
      <c r="G692" s="577"/>
      <c r="H692" s="577"/>
      <c r="I692" s="577"/>
      <c r="J692" s="513"/>
    </row>
    <row r="693" customHeight="1" spans="4:10">
      <c r="D693" s="577"/>
      <c r="E693" s="577"/>
      <c r="F693" s="577"/>
      <c r="G693" s="577"/>
      <c r="H693" s="577"/>
      <c r="I693" s="577"/>
      <c r="J693" s="513"/>
    </row>
    <row r="694" customHeight="1" spans="4:10">
      <c r="D694" s="577"/>
      <c r="E694" s="577"/>
      <c r="F694" s="577"/>
      <c r="G694" s="577"/>
      <c r="H694" s="577"/>
      <c r="I694" s="577"/>
      <c r="J694" s="513"/>
    </row>
    <row r="695" customHeight="1" spans="4:10">
      <c r="D695" s="577"/>
      <c r="E695" s="577"/>
      <c r="F695" s="577"/>
      <c r="G695" s="577"/>
      <c r="H695" s="577"/>
      <c r="I695" s="577"/>
      <c r="J695" s="513"/>
    </row>
    <row r="696" customHeight="1" spans="4:10">
      <c r="D696" s="577"/>
      <c r="E696" s="577"/>
      <c r="F696" s="577"/>
      <c r="G696" s="577"/>
      <c r="H696" s="577"/>
      <c r="I696" s="577"/>
      <c r="J696" s="513"/>
    </row>
    <row r="697" customHeight="1" spans="4:10">
      <c r="D697" s="577"/>
      <c r="E697" s="577"/>
      <c r="F697" s="577"/>
      <c r="G697" s="577"/>
      <c r="H697" s="577"/>
      <c r="I697" s="577"/>
      <c r="J697" s="513"/>
    </row>
    <row r="698" customHeight="1" spans="4:10">
      <c r="D698" s="577"/>
      <c r="E698" s="577"/>
      <c r="F698" s="577"/>
      <c r="G698" s="577"/>
      <c r="H698" s="577"/>
      <c r="I698" s="577"/>
      <c r="J698" s="513"/>
    </row>
    <row r="699" customHeight="1" spans="4:10">
      <c r="D699" s="577"/>
      <c r="E699" s="577"/>
      <c r="F699" s="577"/>
      <c r="G699" s="577"/>
      <c r="H699" s="577"/>
      <c r="I699" s="577"/>
      <c r="J699" s="513"/>
    </row>
    <row r="700" customHeight="1" spans="4:10">
      <c r="D700" s="577"/>
      <c r="E700" s="577"/>
      <c r="F700" s="577"/>
      <c r="G700" s="577"/>
      <c r="H700" s="577"/>
      <c r="I700" s="577"/>
      <c r="J700" s="513"/>
    </row>
    <row r="701" customHeight="1" spans="4:10">
      <c r="D701" s="577"/>
      <c r="E701" s="577"/>
      <c r="F701" s="577"/>
      <c r="G701" s="577"/>
      <c r="H701" s="577"/>
      <c r="I701" s="577"/>
      <c r="J701" s="513"/>
    </row>
    <row r="702" customHeight="1" spans="4:10">
      <c r="D702" s="577"/>
      <c r="E702" s="577"/>
      <c r="F702" s="577"/>
      <c r="G702" s="577"/>
      <c r="H702" s="577"/>
      <c r="I702" s="577"/>
      <c r="J702" s="513"/>
    </row>
    <row r="703" customHeight="1" spans="4:10">
      <c r="D703" s="577"/>
      <c r="E703" s="577"/>
      <c r="F703" s="577"/>
      <c r="G703" s="577"/>
      <c r="H703" s="577"/>
      <c r="I703" s="577"/>
      <c r="J703" s="513"/>
    </row>
    <row r="704" customHeight="1" spans="4:10">
      <c r="D704" s="577"/>
      <c r="E704" s="577"/>
      <c r="F704" s="577"/>
      <c r="G704" s="577"/>
      <c r="H704" s="577"/>
      <c r="I704" s="577"/>
      <c r="J704" s="513"/>
    </row>
    <row r="705" customHeight="1" spans="4:10">
      <c r="D705" s="577"/>
      <c r="E705" s="577"/>
      <c r="F705" s="577"/>
      <c r="G705" s="577"/>
      <c r="H705" s="577"/>
      <c r="I705" s="577"/>
      <c r="J705" s="513"/>
    </row>
    <row r="706" customHeight="1" spans="4:10">
      <c r="D706" s="577"/>
      <c r="E706" s="577"/>
      <c r="F706" s="577"/>
      <c r="G706" s="577"/>
      <c r="H706" s="577"/>
      <c r="I706" s="577"/>
      <c r="J706" s="513"/>
    </row>
    <row r="707" customHeight="1" spans="4:10">
      <c r="D707" s="577"/>
      <c r="E707" s="577"/>
      <c r="F707" s="577"/>
      <c r="G707" s="577"/>
      <c r="H707" s="577"/>
      <c r="I707" s="577"/>
      <c r="J707" s="513"/>
    </row>
    <row r="708" customHeight="1" spans="4:10">
      <c r="D708" s="577"/>
      <c r="E708" s="577"/>
      <c r="F708" s="577"/>
      <c r="G708" s="577"/>
      <c r="H708" s="577"/>
      <c r="I708" s="577"/>
      <c r="J708" s="513"/>
    </row>
    <row r="709" customHeight="1" spans="4:10">
      <c r="D709" s="577"/>
      <c r="E709" s="577"/>
      <c r="F709" s="577"/>
      <c r="G709" s="577"/>
      <c r="H709" s="577"/>
      <c r="I709" s="577"/>
      <c r="J709" s="513"/>
    </row>
    <row r="710" customHeight="1" spans="4:10">
      <c r="D710" s="577"/>
      <c r="E710" s="577"/>
      <c r="F710" s="577"/>
      <c r="G710" s="577"/>
      <c r="H710" s="577"/>
      <c r="I710" s="577"/>
      <c r="J710" s="513"/>
    </row>
    <row r="711" customHeight="1" spans="4:10">
      <c r="D711" s="577"/>
      <c r="E711" s="577"/>
      <c r="F711" s="577"/>
      <c r="G711" s="577"/>
      <c r="H711" s="577"/>
      <c r="I711" s="577"/>
      <c r="J711" s="513"/>
    </row>
    <row r="712" customHeight="1" spans="4:10">
      <c r="D712" s="577"/>
      <c r="E712" s="577"/>
      <c r="F712" s="577"/>
      <c r="G712" s="577"/>
      <c r="H712" s="577"/>
      <c r="I712" s="577"/>
      <c r="J712" s="513"/>
    </row>
    <row r="713" customHeight="1" spans="4:10">
      <c r="D713" s="577"/>
      <c r="E713" s="577"/>
      <c r="F713" s="577"/>
      <c r="G713" s="577"/>
      <c r="H713" s="577"/>
      <c r="I713" s="577"/>
      <c r="J713" s="513"/>
    </row>
    <row r="714" customHeight="1" spans="4:10">
      <c r="D714" s="577"/>
      <c r="E714" s="577"/>
      <c r="F714" s="577"/>
      <c r="G714" s="577"/>
      <c r="H714" s="577"/>
      <c r="I714" s="577"/>
      <c r="J714" s="513"/>
    </row>
    <row r="715" customHeight="1" spans="4:10">
      <c r="D715" s="577"/>
      <c r="E715" s="577"/>
      <c r="F715" s="577"/>
      <c r="G715" s="577"/>
      <c r="H715" s="577"/>
      <c r="I715" s="577"/>
      <c r="J715" s="513"/>
    </row>
    <row r="716" customHeight="1" spans="4:10">
      <c r="D716" s="577"/>
      <c r="E716" s="577"/>
      <c r="F716" s="577"/>
      <c r="G716" s="577"/>
      <c r="H716" s="577"/>
      <c r="I716" s="577"/>
      <c r="J716" s="513"/>
    </row>
    <row r="717" customHeight="1" spans="4:10">
      <c r="D717" s="577"/>
      <c r="E717" s="577"/>
      <c r="F717" s="577"/>
      <c r="G717" s="577"/>
      <c r="H717" s="577"/>
      <c r="I717" s="577"/>
      <c r="J717" s="513"/>
    </row>
    <row r="718" customHeight="1" spans="4:10">
      <c r="D718" s="577"/>
      <c r="E718" s="577"/>
      <c r="F718" s="577"/>
      <c r="G718" s="577"/>
      <c r="H718" s="577"/>
      <c r="I718" s="577"/>
      <c r="J718" s="513"/>
    </row>
    <row r="719" customHeight="1" spans="4:10">
      <c r="D719" s="577"/>
      <c r="E719" s="577"/>
      <c r="F719" s="577"/>
      <c r="G719" s="577"/>
      <c r="H719" s="577"/>
      <c r="I719" s="577"/>
      <c r="J719" s="513"/>
    </row>
    <row r="720" customHeight="1" spans="4:10">
      <c r="D720" s="577"/>
      <c r="E720" s="577"/>
      <c r="F720" s="577"/>
      <c r="G720" s="577"/>
      <c r="H720" s="577"/>
      <c r="I720" s="577"/>
      <c r="J720" s="513"/>
    </row>
    <row r="721" customHeight="1" spans="4:10">
      <c r="D721" s="577"/>
      <c r="E721" s="577"/>
      <c r="F721" s="577"/>
      <c r="G721" s="577"/>
      <c r="H721" s="577"/>
      <c r="I721" s="577"/>
      <c r="J721" s="513"/>
    </row>
    <row r="722" customHeight="1" spans="4:10">
      <c r="D722" s="577"/>
      <c r="E722" s="577"/>
      <c r="F722" s="577"/>
      <c r="G722" s="577"/>
      <c r="H722" s="577"/>
      <c r="I722" s="577"/>
      <c r="J722" s="513"/>
    </row>
    <row r="723" customHeight="1" spans="4:10">
      <c r="D723" s="577"/>
      <c r="E723" s="577"/>
      <c r="F723" s="577"/>
      <c r="G723" s="577"/>
      <c r="H723" s="577"/>
      <c r="I723" s="577"/>
      <c r="J723" s="513"/>
    </row>
    <row r="724" customHeight="1" spans="4:10">
      <c r="D724" s="577"/>
      <c r="E724" s="577"/>
      <c r="F724" s="577"/>
      <c r="G724" s="577"/>
      <c r="H724" s="577"/>
      <c r="I724" s="577"/>
      <c r="J724" s="513"/>
    </row>
    <row r="725" customHeight="1" spans="4:10">
      <c r="D725" s="577"/>
      <c r="E725" s="577"/>
      <c r="F725" s="577"/>
      <c r="G725" s="577"/>
      <c r="H725" s="577"/>
      <c r="I725" s="577"/>
      <c r="J725" s="513"/>
    </row>
    <row r="726" customHeight="1" spans="4:10">
      <c r="D726" s="577"/>
      <c r="E726" s="577"/>
      <c r="F726" s="577"/>
      <c r="G726" s="577"/>
      <c r="H726" s="577"/>
      <c r="I726" s="577"/>
      <c r="J726" s="513"/>
    </row>
    <row r="727" customHeight="1" spans="4:10">
      <c r="D727" s="577"/>
      <c r="E727" s="577"/>
      <c r="F727" s="577"/>
      <c r="G727" s="577"/>
      <c r="H727" s="577"/>
      <c r="I727" s="577"/>
      <c r="J727" s="513"/>
    </row>
    <row r="728" customHeight="1" spans="4:10">
      <c r="D728" s="577"/>
      <c r="E728" s="577"/>
      <c r="F728" s="577"/>
      <c r="G728" s="577"/>
      <c r="H728" s="577"/>
      <c r="I728" s="577"/>
      <c r="J728" s="513"/>
    </row>
    <row r="729" customHeight="1" spans="4:10">
      <c r="D729" s="577"/>
      <c r="E729" s="577"/>
      <c r="F729" s="577"/>
      <c r="G729" s="577"/>
      <c r="H729" s="577"/>
      <c r="I729" s="577"/>
      <c r="J729" s="513"/>
    </row>
    <row r="730" customHeight="1" spans="4:10">
      <c r="D730" s="577"/>
      <c r="E730" s="577"/>
      <c r="F730" s="577"/>
      <c r="G730" s="577"/>
      <c r="H730" s="577"/>
      <c r="I730" s="577"/>
      <c r="J730" s="513"/>
    </row>
    <row r="731" customHeight="1" spans="4:10">
      <c r="D731" s="577"/>
      <c r="E731" s="577"/>
      <c r="F731" s="577"/>
      <c r="G731" s="577"/>
      <c r="H731" s="577"/>
      <c r="I731" s="577"/>
      <c r="J731" s="513"/>
    </row>
    <row r="732" customHeight="1" spans="4:10">
      <c r="D732" s="577"/>
      <c r="E732" s="577"/>
      <c r="F732" s="577"/>
      <c r="G732" s="577"/>
      <c r="H732" s="577"/>
      <c r="I732" s="577"/>
      <c r="J732" s="513"/>
    </row>
    <row r="733" customHeight="1" spans="4:10">
      <c r="D733" s="577"/>
      <c r="E733" s="577"/>
      <c r="F733" s="577"/>
      <c r="G733" s="577"/>
      <c r="H733" s="577"/>
      <c r="I733" s="577"/>
      <c r="J733" s="513"/>
    </row>
    <row r="734" customHeight="1" spans="4:10">
      <c r="D734" s="577"/>
      <c r="E734" s="577"/>
      <c r="F734" s="577"/>
      <c r="G734" s="577"/>
      <c r="H734" s="577"/>
      <c r="I734" s="577"/>
      <c r="J734" s="513"/>
    </row>
    <row r="735" customHeight="1" spans="4:10">
      <c r="D735" s="577"/>
      <c r="E735" s="577"/>
      <c r="F735" s="577"/>
      <c r="G735" s="577"/>
      <c r="H735" s="577"/>
      <c r="I735" s="577"/>
      <c r="J735" s="513"/>
    </row>
    <row r="736" customHeight="1" spans="4:10">
      <c r="D736" s="577"/>
      <c r="E736" s="577"/>
      <c r="F736" s="577"/>
      <c r="G736" s="577"/>
      <c r="H736" s="577"/>
      <c r="I736" s="577"/>
      <c r="J736" s="513"/>
    </row>
    <row r="737" customHeight="1" spans="4:10">
      <c r="D737" s="577"/>
      <c r="E737" s="577"/>
      <c r="F737" s="577"/>
      <c r="G737" s="577"/>
      <c r="H737" s="577"/>
      <c r="I737" s="577"/>
      <c r="J737" s="513"/>
    </row>
    <row r="738" customHeight="1" spans="4:10">
      <c r="D738" s="577"/>
      <c r="E738" s="577"/>
      <c r="F738" s="577"/>
      <c r="G738" s="577"/>
      <c r="H738" s="577"/>
      <c r="I738" s="577"/>
      <c r="J738" s="513"/>
    </row>
    <row r="739" customHeight="1" spans="4:10">
      <c r="D739" s="577"/>
      <c r="E739" s="577"/>
      <c r="F739" s="577"/>
      <c r="G739" s="577"/>
      <c r="H739" s="577"/>
      <c r="I739" s="577"/>
      <c r="J739" s="513"/>
    </row>
    <row r="740" customHeight="1" spans="4:10">
      <c r="D740" s="577"/>
      <c r="E740" s="577"/>
      <c r="F740" s="577"/>
      <c r="G740" s="577"/>
      <c r="H740" s="577"/>
      <c r="I740" s="577"/>
      <c r="J740" s="513"/>
    </row>
    <row r="741" customHeight="1" spans="4:10">
      <c r="D741" s="577"/>
      <c r="E741" s="577"/>
      <c r="F741" s="577"/>
      <c r="G741" s="577"/>
      <c r="H741" s="577"/>
      <c r="I741" s="577"/>
      <c r="J741" s="513"/>
    </row>
    <row r="742" customHeight="1" spans="4:10">
      <c r="D742" s="577"/>
      <c r="E742" s="577"/>
      <c r="F742" s="577"/>
      <c r="G742" s="577"/>
      <c r="H742" s="577"/>
      <c r="I742" s="577"/>
      <c r="J742" s="513"/>
    </row>
    <row r="743" customHeight="1" spans="4:10">
      <c r="D743" s="577"/>
      <c r="E743" s="577"/>
      <c r="F743" s="577"/>
      <c r="G743" s="577"/>
      <c r="H743" s="577"/>
      <c r="I743" s="577"/>
      <c r="J743" s="513"/>
    </row>
    <row r="744" customHeight="1" spans="4:10">
      <c r="D744" s="577"/>
      <c r="E744" s="577"/>
      <c r="F744" s="577"/>
      <c r="G744" s="577"/>
      <c r="H744" s="577"/>
      <c r="I744" s="577"/>
      <c r="J744" s="513"/>
    </row>
    <row r="745" customHeight="1" spans="4:10">
      <c r="D745" s="577"/>
      <c r="E745" s="577"/>
      <c r="F745" s="577"/>
      <c r="G745" s="577"/>
      <c r="H745" s="577"/>
      <c r="I745" s="577"/>
      <c r="J745" s="513"/>
    </row>
    <row r="746" customHeight="1" spans="4:10">
      <c r="D746" s="577"/>
      <c r="E746" s="577"/>
      <c r="F746" s="577"/>
      <c r="G746" s="577"/>
      <c r="H746" s="577"/>
      <c r="I746" s="577"/>
      <c r="J746" s="513"/>
    </row>
    <row r="747" customHeight="1" spans="4:10">
      <c r="D747" s="577"/>
      <c r="E747" s="577"/>
      <c r="F747" s="577"/>
      <c r="G747" s="577"/>
      <c r="H747" s="577"/>
      <c r="I747" s="577"/>
      <c r="J747" s="513"/>
    </row>
    <row r="748" customHeight="1" spans="4:10">
      <c r="D748" s="577"/>
      <c r="E748" s="577"/>
      <c r="F748" s="577"/>
      <c r="G748" s="577"/>
      <c r="H748" s="577"/>
      <c r="I748" s="577"/>
      <c r="J748" s="513"/>
    </row>
    <row r="749" customHeight="1" spans="4:10">
      <c r="D749" s="577"/>
      <c r="E749" s="577"/>
      <c r="F749" s="577"/>
      <c r="G749" s="577"/>
      <c r="H749" s="577"/>
      <c r="I749" s="577"/>
      <c r="J749" s="513"/>
    </row>
    <row r="750" customHeight="1" spans="4:10">
      <c r="D750" s="577"/>
      <c r="E750" s="577"/>
      <c r="F750" s="577"/>
      <c r="G750" s="577"/>
      <c r="H750" s="577"/>
      <c r="I750" s="577"/>
      <c r="J750" s="513"/>
    </row>
    <row r="751" customHeight="1" spans="4:10">
      <c r="D751" s="577"/>
      <c r="E751" s="577"/>
      <c r="F751" s="577"/>
      <c r="G751" s="577"/>
      <c r="H751" s="577"/>
      <c r="I751" s="577"/>
      <c r="J751" s="513"/>
    </row>
    <row r="752" customHeight="1" spans="4:10">
      <c r="D752" s="577"/>
      <c r="E752" s="577"/>
      <c r="F752" s="577"/>
      <c r="G752" s="577"/>
      <c r="H752" s="577"/>
      <c r="I752" s="577"/>
      <c r="J752" s="513"/>
    </row>
    <row r="753" customHeight="1" spans="4:10">
      <c r="D753" s="577"/>
      <c r="E753" s="577"/>
      <c r="F753" s="577"/>
      <c r="G753" s="577"/>
      <c r="H753" s="577"/>
      <c r="I753" s="577"/>
      <c r="J753" s="513"/>
    </row>
    <row r="754" customHeight="1" spans="4:10">
      <c r="D754" s="577"/>
      <c r="E754" s="577"/>
      <c r="F754" s="577"/>
      <c r="G754" s="577"/>
      <c r="H754" s="577"/>
      <c r="I754" s="577"/>
      <c r="J754" s="513"/>
    </row>
    <row r="755" customHeight="1" spans="4:10">
      <c r="D755" s="577"/>
      <c r="E755" s="577"/>
      <c r="F755" s="577"/>
      <c r="G755" s="577"/>
      <c r="H755" s="577"/>
      <c r="I755" s="577"/>
      <c r="J755" s="513"/>
    </row>
    <row r="756" customHeight="1" spans="4:10">
      <c r="D756" s="577"/>
      <c r="E756" s="577"/>
      <c r="F756" s="577"/>
      <c r="G756" s="577"/>
      <c r="H756" s="577"/>
      <c r="I756" s="577"/>
      <c r="J756" s="513"/>
    </row>
    <row r="757" customHeight="1" spans="4:10">
      <c r="D757" s="577"/>
      <c r="E757" s="577"/>
      <c r="F757" s="577"/>
      <c r="G757" s="577"/>
      <c r="H757" s="577"/>
      <c r="I757" s="577"/>
      <c r="J757" s="513"/>
    </row>
    <row r="758" customHeight="1" spans="4:10">
      <c r="D758" s="577"/>
      <c r="E758" s="577"/>
      <c r="F758" s="577"/>
      <c r="G758" s="577"/>
      <c r="H758" s="577"/>
      <c r="I758" s="577"/>
      <c r="J758" s="513"/>
    </row>
    <row r="759" customHeight="1" spans="4:10">
      <c r="D759" s="577"/>
      <c r="E759" s="577"/>
      <c r="F759" s="577"/>
      <c r="G759" s="577"/>
      <c r="H759" s="577"/>
      <c r="I759" s="577"/>
      <c r="J759" s="513"/>
    </row>
    <row r="760" customHeight="1" spans="4:10">
      <c r="D760" s="577"/>
      <c r="E760" s="577"/>
      <c r="F760" s="577"/>
      <c r="G760" s="577"/>
      <c r="H760" s="577"/>
      <c r="I760" s="577"/>
      <c r="J760" s="513"/>
    </row>
    <row r="761" customHeight="1" spans="4:10">
      <c r="D761" s="577"/>
      <c r="E761" s="577"/>
      <c r="F761" s="577"/>
      <c r="G761" s="577"/>
      <c r="H761" s="577"/>
      <c r="I761" s="577"/>
      <c r="J761" s="513"/>
    </row>
    <row r="762" customHeight="1" spans="4:10">
      <c r="D762" s="577"/>
      <c r="E762" s="577"/>
      <c r="F762" s="577"/>
      <c r="G762" s="577"/>
      <c r="H762" s="577"/>
      <c r="I762" s="577"/>
      <c r="J762" s="513"/>
    </row>
    <row r="763" customHeight="1" spans="4:10">
      <c r="D763" s="577"/>
      <c r="E763" s="577"/>
      <c r="F763" s="577"/>
      <c r="G763" s="577"/>
      <c r="H763" s="577"/>
      <c r="I763" s="577"/>
      <c r="J763" s="513"/>
    </row>
    <row r="764" customHeight="1" spans="4:10">
      <c r="D764" s="577"/>
      <c r="E764" s="577"/>
      <c r="F764" s="577"/>
      <c r="G764" s="577"/>
      <c r="H764" s="577"/>
      <c r="I764" s="577"/>
      <c r="J764" s="513"/>
    </row>
    <row r="765" customHeight="1" spans="4:10">
      <c r="D765" s="577"/>
      <c r="E765" s="577"/>
      <c r="F765" s="577"/>
      <c r="G765" s="577"/>
      <c r="H765" s="577"/>
      <c r="I765" s="577"/>
      <c r="J765" s="513"/>
    </row>
    <row r="766" customHeight="1" spans="4:10">
      <c r="D766" s="577"/>
      <c r="E766" s="577"/>
      <c r="F766" s="577"/>
      <c r="G766" s="577"/>
      <c r="H766" s="577"/>
      <c r="I766" s="577"/>
      <c r="J766" s="513"/>
    </row>
    <row r="767" customHeight="1" spans="4:10">
      <c r="D767" s="577"/>
      <c r="E767" s="577"/>
      <c r="F767" s="577"/>
      <c r="G767" s="577"/>
      <c r="H767" s="577"/>
      <c r="I767" s="577"/>
      <c r="J767" s="513"/>
    </row>
    <row r="768" customHeight="1" spans="4:10">
      <c r="D768" s="577"/>
      <c r="E768" s="577"/>
      <c r="F768" s="577"/>
      <c r="G768" s="577"/>
      <c r="H768" s="577"/>
      <c r="I768" s="577"/>
      <c r="J768" s="513"/>
    </row>
    <row r="769" customHeight="1" spans="4:10">
      <c r="D769" s="577"/>
      <c r="E769" s="577"/>
      <c r="F769" s="577"/>
      <c r="G769" s="577"/>
      <c r="H769" s="577"/>
      <c r="I769" s="577"/>
      <c r="J769" s="513"/>
    </row>
    <row r="770" customHeight="1" spans="4:10">
      <c r="D770" s="577"/>
      <c r="E770" s="577"/>
      <c r="F770" s="577"/>
      <c r="G770" s="577"/>
      <c r="H770" s="577"/>
      <c r="I770" s="577"/>
      <c r="J770" s="513"/>
    </row>
    <row r="771" customHeight="1" spans="4:10">
      <c r="D771" s="577"/>
      <c r="E771" s="577"/>
      <c r="F771" s="577"/>
      <c r="G771" s="577"/>
      <c r="H771" s="577"/>
      <c r="I771" s="577"/>
      <c r="J771" s="513"/>
    </row>
    <row r="772" customHeight="1" spans="4:10">
      <c r="D772" s="577"/>
      <c r="E772" s="577"/>
      <c r="F772" s="577"/>
      <c r="G772" s="577"/>
      <c r="H772" s="577"/>
      <c r="I772" s="577"/>
      <c r="J772" s="513"/>
    </row>
    <row r="773" customHeight="1" spans="4:10">
      <c r="D773" s="577"/>
      <c r="E773" s="577"/>
      <c r="F773" s="577"/>
      <c r="G773" s="577"/>
      <c r="H773" s="577"/>
      <c r="I773" s="577"/>
      <c r="J773" s="513"/>
    </row>
    <row r="774" customHeight="1" spans="4:10">
      <c r="D774" s="577"/>
      <c r="E774" s="577"/>
      <c r="F774" s="577"/>
      <c r="G774" s="577"/>
      <c r="H774" s="577"/>
      <c r="I774" s="577"/>
      <c r="J774" s="513"/>
    </row>
    <row r="775" customHeight="1" spans="4:10">
      <c r="D775" s="577"/>
      <c r="E775" s="577"/>
      <c r="F775" s="577"/>
      <c r="G775" s="577"/>
      <c r="H775" s="577"/>
      <c r="I775" s="577"/>
      <c r="J775" s="513"/>
    </row>
    <row r="776" customHeight="1" spans="4:10">
      <c r="D776" s="577"/>
      <c r="E776" s="577"/>
      <c r="F776" s="577"/>
      <c r="G776" s="577"/>
      <c r="H776" s="577"/>
      <c r="I776" s="577"/>
      <c r="J776" s="513"/>
    </row>
    <row r="777" customHeight="1" spans="4:10">
      <c r="D777" s="577"/>
      <c r="E777" s="577"/>
      <c r="F777" s="577"/>
      <c r="G777" s="577"/>
      <c r="H777" s="577"/>
      <c r="I777" s="577"/>
      <c r="J777" s="513"/>
    </row>
    <row r="778" customHeight="1" spans="4:10">
      <c r="D778" s="577"/>
      <c r="E778" s="577"/>
      <c r="F778" s="577"/>
      <c r="G778" s="577"/>
      <c r="H778" s="577"/>
      <c r="I778" s="577"/>
      <c r="J778" s="513"/>
    </row>
    <row r="779" customHeight="1" spans="4:10">
      <c r="D779" s="577"/>
      <c r="E779" s="577"/>
      <c r="F779" s="577"/>
      <c r="G779" s="577"/>
      <c r="H779" s="577"/>
      <c r="I779" s="577"/>
      <c r="J779" s="513"/>
    </row>
    <row r="780" customHeight="1" spans="4:10">
      <c r="D780" s="577"/>
      <c r="E780" s="577"/>
      <c r="F780" s="577"/>
      <c r="G780" s="577"/>
      <c r="H780" s="577"/>
      <c r="I780" s="577"/>
      <c r="J780" s="513"/>
    </row>
    <row r="781" customHeight="1" spans="4:10">
      <c r="D781" s="577"/>
      <c r="E781" s="577"/>
      <c r="F781" s="577"/>
      <c r="G781" s="577"/>
      <c r="H781" s="577"/>
      <c r="I781" s="577"/>
      <c r="J781" s="513"/>
    </row>
    <row r="782" customHeight="1" spans="4:10">
      <c r="D782" s="577"/>
      <c r="E782" s="577"/>
      <c r="F782" s="577"/>
      <c r="G782" s="577"/>
      <c r="H782" s="577"/>
      <c r="I782" s="577"/>
      <c r="J782" s="513"/>
    </row>
    <row r="783" customHeight="1" spans="4:10">
      <c r="D783" s="577"/>
      <c r="E783" s="577"/>
      <c r="F783" s="577"/>
      <c r="G783" s="577"/>
      <c r="H783" s="577"/>
      <c r="I783" s="577"/>
      <c r="J783" s="513"/>
    </row>
    <row r="784" customHeight="1" spans="4:10">
      <c r="D784" s="577"/>
      <c r="E784" s="577"/>
      <c r="F784" s="577"/>
      <c r="G784" s="577"/>
      <c r="H784" s="577"/>
      <c r="I784" s="577"/>
      <c r="J784" s="513"/>
    </row>
    <row r="785" customHeight="1" spans="4:10">
      <c r="D785" s="577"/>
      <c r="E785" s="577"/>
      <c r="F785" s="577"/>
      <c r="G785" s="577"/>
      <c r="H785" s="577"/>
      <c r="I785" s="577"/>
      <c r="J785" s="513"/>
    </row>
    <row r="786" customHeight="1" spans="4:10">
      <c r="D786" s="577"/>
      <c r="E786" s="577"/>
      <c r="F786" s="577"/>
      <c r="G786" s="577"/>
      <c r="H786" s="577"/>
      <c r="I786" s="577"/>
      <c r="J786" s="513"/>
    </row>
    <row r="787" customHeight="1" spans="4:10">
      <c r="D787" s="577"/>
      <c r="E787" s="577"/>
      <c r="F787" s="577"/>
      <c r="G787" s="577"/>
      <c r="H787" s="577"/>
      <c r="I787" s="577"/>
      <c r="J787" s="513"/>
    </row>
    <row r="788" customHeight="1" spans="4:10">
      <c r="D788" s="577"/>
      <c r="E788" s="577"/>
      <c r="F788" s="577"/>
      <c r="G788" s="577"/>
      <c r="H788" s="577"/>
      <c r="I788" s="577"/>
      <c r="J788" s="513"/>
    </row>
    <row r="789" customHeight="1" spans="4:10">
      <c r="D789" s="577"/>
      <c r="E789" s="577"/>
      <c r="F789" s="577"/>
      <c r="G789" s="577"/>
      <c r="H789" s="577"/>
      <c r="I789" s="577"/>
      <c r="J789" s="513"/>
    </row>
    <row r="790" customHeight="1" spans="4:10">
      <c r="D790" s="577"/>
      <c r="E790" s="577"/>
      <c r="F790" s="577"/>
      <c r="G790" s="577"/>
      <c r="H790" s="577"/>
      <c r="I790" s="577"/>
      <c r="J790" s="513"/>
    </row>
    <row r="791" customHeight="1" spans="4:10">
      <c r="D791" s="577"/>
      <c r="E791" s="577"/>
      <c r="F791" s="577"/>
      <c r="G791" s="577"/>
      <c r="H791" s="577"/>
      <c r="I791" s="577"/>
      <c r="J791" s="513"/>
    </row>
    <row r="792" customHeight="1" spans="4:10">
      <c r="D792" s="577"/>
      <c r="E792" s="577"/>
      <c r="F792" s="577"/>
      <c r="G792" s="577"/>
      <c r="H792" s="577"/>
      <c r="I792" s="577"/>
      <c r="J792" s="513"/>
    </row>
    <row r="793" customHeight="1" spans="4:10">
      <c r="D793" s="577"/>
      <c r="E793" s="577"/>
      <c r="F793" s="577"/>
      <c r="G793" s="577"/>
      <c r="H793" s="577"/>
      <c r="I793" s="577"/>
      <c r="J793" s="513"/>
    </row>
    <row r="794" customHeight="1" spans="4:10">
      <c r="D794" s="577"/>
      <c r="E794" s="577"/>
      <c r="F794" s="577"/>
      <c r="G794" s="577"/>
      <c r="H794" s="577"/>
      <c r="I794" s="577"/>
      <c r="J794" s="513"/>
    </row>
    <row r="795" customHeight="1" spans="4:10">
      <c r="D795" s="577"/>
      <c r="E795" s="577"/>
      <c r="F795" s="577"/>
      <c r="G795" s="577"/>
      <c r="H795" s="577"/>
      <c r="I795" s="577"/>
      <c r="J795" s="513"/>
    </row>
    <row r="796" customHeight="1" spans="4:10">
      <c r="D796" s="577"/>
      <c r="E796" s="577"/>
      <c r="F796" s="577"/>
      <c r="G796" s="577"/>
      <c r="H796" s="577"/>
      <c r="I796" s="577"/>
      <c r="J796" s="513"/>
    </row>
    <row r="797" customHeight="1" spans="4:10">
      <c r="D797" s="577"/>
      <c r="E797" s="577"/>
      <c r="F797" s="577"/>
      <c r="G797" s="577"/>
      <c r="H797" s="577"/>
      <c r="I797" s="577"/>
      <c r="J797" s="513"/>
    </row>
    <row r="798" customHeight="1" spans="4:10">
      <c r="D798" s="577"/>
      <c r="E798" s="577"/>
      <c r="F798" s="577"/>
      <c r="G798" s="577"/>
      <c r="H798" s="577"/>
      <c r="I798" s="577"/>
      <c r="J798" s="513"/>
    </row>
    <row r="799" customHeight="1" spans="4:10">
      <c r="D799" s="577"/>
      <c r="E799" s="577"/>
      <c r="F799" s="577"/>
      <c r="G799" s="577"/>
      <c r="H799" s="577"/>
      <c r="I799" s="577"/>
      <c r="J799" s="513"/>
    </row>
    <row r="800" customHeight="1" spans="4:10">
      <c r="D800" s="577"/>
      <c r="E800" s="577"/>
      <c r="F800" s="577"/>
      <c r="G800" s="577"/>
      <c r="H800" s="577"/>
      <c r="I800" s="577"/>
      <c r="J800" s="513"/>
    </row>
    <row r="801" customHeight="1" spans="4:10">
      <c r="D801" s="577"/>
      <c r="E801" s="577"/>
      <c r="F801" s="577"/>
      <c r="G801" s="577"/>
      <c r="H801" s="577"/>
      <c r="I801" s="577"/>
      <c r="J801" s="513"/>
    </row>
    <row r="802" customHeight="1" spans="4:10">
      <c r="D802" s="577"/>
      <c r="E802" s="577"/>
      <c r="F802" s="577"/>
      <c r="G802" s="577"/>
      <c r="H802" s="577"/>
      <c r="I802" s="577"/>
      <c r="J802" s="513"/>
    </row>
    <row r="803" customHeight="1" spans="4:10">
      <c r="D803" s="577"/>
      <c r="E803" s="577"/>
      <c r="F803" s="577"/>
      <c r="G803" s="577"/>
      <c r="H803" s="577"/>
      <c r="I803" s="577"/>
      <c r="J803" s="513"/>
    </row>
    <row r="804" customHeight="1" spans="4:10">
      <c r="D804" s="577"/>
      <c r="E804" s="577"/>
      <c r="F804" s="577"/>
      <c r="G804" s="577"/>
      <c r="H804" s="577"/>
      <c r="I804" s="577"/>
      <c r="J804" s="513"/>
    </row>
    <row r="805" customHeight="1" spans="4:10">
      <c r="D805" s="577"/>
      <c r="E805" s="577"/>
      <c r="F805" s="577"/>
      <c r="G805" s="577"/>
      <c r="H805" s="577"/>
      <c r="I805" s="577"/>
      <c r="J805" s="513"/>
    </row>
    <row r="806" customHeight="1" spans="4:10">
      <c r="D806" s="577"/>
      <c r="E806" s="577"/>
      <c r="F806" s="577"/>
      <c r="G806" s="577"/>
      <c r="H806" s="577"/>
      <c r="I806" s="577"/>
      <c r="J806" s="513"/>
    </row>
    <row r="807" customHeight="1" spans="4:10">
      <c r="D807" s="577"/>
      <c r="E807" s="577"/>
      <c r="F807" s="577"/>
      <c r="G807" s="577"/>
      <c r="H807" s="577"/>
      <c r="I807" s="577"/>
      <c r="J807" s="513"/>
    </row>
    <row r="808" customHeight="1" spans="4:10">
      <c r="D808" s="577"/>
      <c r="E808" s="577"/>
      <c r="F808" s="577"/>
      <c r="G808" s="577"/>
      <c r="H808" s="577"/>
      <c r="I808" s="577"/>
      <c r="J808" s="513"/>
    </row>
    <row r="809" customHeight="1" spans="4:10">
      <c r="D809" s="577"/>
      <c r="E809" s="577"/>
      <c r="F809" s="577"/>
      <c r="G809" s="577"/>
      <c r="H809" s="577"/>
      <c r="I809" s="577"/>
      <c r="J809" s="513"/>
    </row>
    <row r="810" customHeight="1" spans="4:10">
      <c r="D810" s="577"/>
      <c r="E810" s="577"/>
      <c r="F810" s="577"/>
      <c r="G810" s="577"/>
      <c r="H810" s="577"/>
      <c r="I810" s="577"/>
      <c r="J810" s="513"/>
    </row>
    <row r="811" customHeight="1" spans="4:10">
      <c r="D811" s="577"/>
      <c r="E811" s="577"/>
      <c r="F811" s="577"/>
      <c r="G811" s="577"/>
      <c r="H811" s="577"/>
      <c r="I811" s="577"/>
      <c r="J811" s="513"/>
    </row>
    <row r="812" customHeight="1" spans="4:10">
      <c r="D812" s="577"/>
      <c r="E812" s="577"/>
      <c r="F812" s="577"/>
      <c r="G812" s="577"/>
      <c r="H812" s="577"/>
      <c r="I812" s="577"/>
      <c r="J812" s="513"/>
    </row>
    <row r="813" customHeight="1" spans="4:10">
      <c r="D813" s="577"/>
      <c r="E813" s="577"/>
      <c r="F813" s="577"/>
      <c r="G813" s="577"/>
      <c r="H813" s="577"/>
      <c r="I813" s="577"/>
      <c r="J813" s="513"/>
    </row>
    <row r="814" customHeight="1" spans="4:10">
      <c r="D814" s="577"/>
      <c r="E814" s="577"/>
      <c r="F814" s="577"/>
      <c r="G814" s="577"/>
      <c r="H814" s="577"/>
      <c r="I814" s="577"/>
      <c r="J814" s="513"/>
    </row>
    <row r="815" customHeight="1" spans="4:10">
      <c r="D815" s="577"/>
      <c r="E815" s="577"/>
      <c r="F815" s="577"/>
      <c r="G815" s="577"/>
      <c r="H815" s="577"/>
      <c r="I815" s="577"/>
      <c r="J815" s="513"/>
    </row>
    <row r="816" customHeight="1" spans="4:10">
      <c r="D816" s="577"/>
      <c r="E816" s="577"/>
      <c r="F816" s="577"/>
      <c r="G816" s="577"/>
      <c r="H816" s="577"/>
      <c r="I816" s="577"/>
      <c r="J816" s="513"/>
    </row>
    <row r="817" customHeight="1" spans="4:10">
      <c r="D817" s="577"/>
      <c r="E817" s="577"/>
      <c r="F817" s="577"/>
      <c r="G817" s="577"/>
      <c r="H817" s="577"/>
      <c r="I817" s="577"/>
      <c r="J817" s="513"/>
    </row>
    <row r="818" customHeight="1" spans="4:10">
      <c r="D818" s="577"/>
      <c r="E818" s="577"/>
      <c r="F818" s="577"/>
      <c r="G818" s="577"/>
      <c r="H818" s="577"/>
      <c r="I818" s="577"/>
      <c r="J818" s="513"/>
    </row>
    <row r="819" customHeight="1" spans="4:10">
      <c r="D819" s="577"/>
      <c r="E819" s="577"/>
      <c r="F819" s="577"/>
      <c r="G819" s="577"/>
      <c r="H819" s="577"/>
      <c r="I819" s="577"/>
      <c r="J819" s="513"/>
    </row>
    <row r="820" customHeight="1" spans="4:10">
      <c r="D820" s="577"/>
      <c r="E820" s="577"/>
      <c r="F820" s="577"/>
      <c r="G820" s="577"/>
      <c r="H820" s="577"/>
      <c r="I820" s="577"/>
      <c r="J820" s="513"/>
    </row>
    <row r="821" customHeight="1" spans="4:10">
      <c r="D821" s="577"/>
      <c r="E821" s="577"/>
      <c r="F821" s="577"/>
      <c r="G821" s="577"/>
      <c r="H821" s="577"/>
      <c r="I821" s="577"/>
      <c r="J821" s="513"/>
    </row>
    <row r="822" customHeight="1" spans="4:10">
      <c r="D822" s="577"/>
      <c r="E822" s="577"/>
      <c r="F822" s="577"/>
      <c r="G822" s="577"/>
      <c r="H822" s="577"/>
      <c r="I822" s="577"/>
      <c r="J822" s="513"/>
    </row>
    <row r="823" customHeight="1" spans="4:10">
      <c r="D823" s="577"/>
      <c r="E823" s="577"/>
      <c r="F823" s="577"/>
      <c r="G823" s="577"/>
      <c r="H823" s="577"/>
      <c r="I823" s="577"/>
      <c r="J823" s="513"/>
    </row>
    <row r="824" customHeight="1" spans="4:10">
      <c r="D824" s="577"/>
      <c r="E824" s="577"/>
      <c r="F824" s="577"/>
      <c r="G824" s="577"/>
      <c r="H824" s="577"/>
      <c r="I824" s="577"/>
      <c r="J824" s="513"/>
    </row>
    <row r="825" customHeight="1" spans="4:10">
      <c r="D825" s="577"/>
      <c r="E825" s="577"/>
      <c r="F825" s="577"/>
      <c r="G825" s="577"/>
      <c r="H825" s="577"/>
      <c r="I825" s="577"/>
      <c r="J825" s="513"/>
    </row>
    <row r="826" customHeight="1" spans="4:10">
      <c r="D826" s="577"/>
      <c r="E826" s="577"/>
      <c r="F826" s="577"/>
      <c r="G826" s="577"/>
      <c r="H826" s="577"/>
      <c r="I826" s="577"/>
      <c r="J826" s="513"/>
    </row>
    <row r="827" customHeight="1" spans="4:10">
      <c r="D827" s="577"/>
      <c r="E827" s="577"/>
      <c r="F827" s="577"/>
      <c r="G827" s="577"/>
      <c r="H827" s="577"/>
      <c r="I827" s="577"/>
      <c r="J827" s="513"/>
    </row>
    <row r="828" customHeight="1" spans="4:10">
      <c r="D828" s="577"/>
      <c r="E828" s="577"/>
      <c r="F828" s="577"/>
      <c r="G828" s="577"/>
      <c r="H828" s="577"/>
      <c r="I828" s="577"/>
      <c r="J828" s="513"/>
    </row>
    <row r="829" customHeight="1" spans="4:10">
      <c r="D829" s="577"/>
      <c r="E829" s="577"/>
      <c r="F829" s="577"/>
      <c r="G829" s="577"/>
      <c r="H829" s="577"/>
      <c r="I829" s="577"/>
      <c r="J829" s="513"/>
    </row>
    <row r="830" customHeight="1" spans="4:10">
      <c r="D830" s="577"/>
      <c r="E830" s="577"/>
      <c r="F830" s="577"/>
      <c r="G830" s="577"/>
      <c r="H830" s="577"/>
      <c r="I830" s="577"/>
      <c r="J830" s="513"/>
    </row>
    <row r="831" customHeight="1" spans="4:10">
      <c r="D831" s="577"/>
      <c r="E831" s="577"/>
      <c r="F831" s="577"/>
      <c r="G831" s="577"/>
      <c r="H831" s="577"/>
      <c r="I831" s="577"/>
      <c r="J831" s="513"/>
    </row>
    <row r="832" customHeight="1" spans="4:10">
      <c r="D832" s="577"/>
      <c r="E832" s="577"/>
      <c r="F832" s="577"/>
      <c r="G832" s="577"/>
      <c r="H832" s="577"/>
      <c r="I832" s="577"/>
      <c r="J832" s="513"/>
    </row>
    <row r="833" customHeight="1" spans="4:10">
      <c r="D833" s="577"/>
      <c r="E833" s="577"/>
      <c r="F833" s="577"/>
      <c r="G833" s="577"/>
      <c r="H833" s="577"/>
      <c r="I833" s="577"/>
      <c r="J833" s="513"/>
    </row>
    <row r="834" customHeight="1" spans="4:10">
      <c r="D834" s="577"/>
      <c r="E834" s="577"/>
      <c r="F834" s="577"/>
      <c r="G834" s="577"/>
      <c r="H834" s="577"/>
      <c r="I834" s="577"/>
      <c r="J834" s="513"/>
    </row>
    <row r="835" customHeight="1" spans="4:10">
      <c r="D835" s="577"/>
      <c r="E835" s="577"/>
      <c r="F835" s="577"/>
      <c r="G835" s="577"/>
      <c r="H835" s="577"/>
      <c r="I835" s="577"/>
      <c r="J835" s="513"/>
    </row>
    <row r="836" customHeight="1" spans="4:10">
      <c r="D836" s="577"/>
      <c r="E836" s="577"/>
      <c r="F836" s="577"/>
      <c r="G836" s="577"/>
      <c r="H836" s="577"/>
      <c r="I836" s="577"/>
      <c r="J836" s="513"/>
    </row>
    <row r="837" customHeight="1" spans="4:10">
      <c r="D837" s="577"/>
      <c r="E837" s="577"/>
      <c r="F837" s="577"/>
      <c r="G837" s="577"/>
      <c r="H837" s="577"/>
      <c r="I837" s="577"/>
      <c r="J837" s="513"/>
    </row>
    <row r="838" customHeight="1" spans="4:10">
      <c r="D838" s="577"/>
      <c r="E838" s="577"/>
      <c r="F838" s="577"/>
      <c r="G838" s="577"/>
      <c r="H838" s="577"/>
      <c r="I838" s="577"/>
      <c r="J838" s="513"/>
    </row>
    <row r="839" customHeight="1" spans="4:10">
      <c r="D839" s="577"/>
      <c r="E839" s="577"/>
      <c r="F839" s="577"/>
      <c r="G839" s="577"/>
      <c r="H839" s="577"/>
      <c r="I839" s="577"/>
      <c r="J839" s="513"/>
    </row>
    <row r="840" customHeight="1" spans="4:10">
      <c r="D840" s="577"/>
      <c r="E840" s="577"/>
      <c r="F840" s="577"/>
      <c r="G840" s="577"/>
      <c r="H840" s="577"/>
      <c r="I840" s="577"/>
      <c r="J840" s="513"/>
    </row>
    <row r="841" customHeight="1" spans="4:10">
      <c r="D841" s="577"/>
      <c r="E841" s="577"/>
      <c r="F841" s="577"/>
      <c r="G841" s="577"/>
      <c r="H841" s="577"/>
      <c r="I841" s="577"/>
      <c r="J841" s="513"/>
    </row>
    <row r="842" customHeight="1" spans="4:10">
      <c r="D842" s="577"/>
      <c r="E842" s="577"/>
      <c r="F842" s="577"/>
      <c r="G842" s="577"/>
      <c r="H842" s="577"/>
      <c r="I842" s="577"/>
      <c r="J842" s="513"/>
    </row>
    <row r="843" customHeight="1" spans="4:10">
      <c r="D843" s="577"/>
      <c r="E843" s="577"/>
      <c r="F843" s="577"/>
      <c r="G843" s="577"/>
      <c r="H843" s="577"/>
      <c r="I843" s="577"/>
      <c r="J843" s="513"/>
    </row>
    <row r="844" customHeight="1" spans="4:10">
      <c r="D844" s="577"/>
      <c r="E844" s="577"/>
      <c r="F844" s="577"/>
      <c r="G844" s="577"/>
      <c r="H844" s="577"/>
      <c r="I844" s="577"/>
      <c r="J844" s="513"/>
    </row>
    <row r="845" customHeight="1" spans="4:10">
      <c r="D845" s="577"/>
      <c r="E845" s="577"/>
      <c r="F845" s="577"/>
      <c r="G845" s="577"/>
      <c r="H845" s="577"/>
      <c r="I845" s="577"/>
      <c r="J845" s="513"/>
    </row>
    <row r="846" customHeight="1" spans="4:10">
      <c r="D846" s="577"/>
      <c r="E846" s="577"/>
      <c r="F846" s="577"/>
      <c r="G846" s="577"/>
      <c r="H846" s="577"/>
      <c r="I846" s="577"/>
      <c r="J846" s="513"/>
    </row>
    <row r="847" customHeight="1" spans="4:10">
      <c r="D847" s="577"/>
      <c r="E847" s="577"/>
      <c r="F847" s="577"/>
      <c r="G847" s="577"/>
      <c r="H847" s="577"/>
      <c r="I847" s="577"/>
      <c r="J847" s="513"/>
    </row>
    <row r="848" customHeight="1" spans="4:10">
      <c r="D848" s="577"/>
      <c r="E848" s="577"/>
      <c r="F848" s="577"/>
      <c r="G848" s="577"/>
      <c r="H848" s="577"/>
      <c r="I848" s="577"/>
      <c r="J848" s="513"/>
    </row>
    <row r="849" customHeight="1" spans="4:10">
      <c r="D849" s="577"/>
      <c r="E849" s="577"/>
      <c r="F849" s="577"/>
      <c r="G849" s="577"/>
      <c r="H849" s="577"/>
      <c r="I849" s="577"/>
      <c r="J849" s="513"/>
    </row>
    <row r="850" customHeight="1" spans="4:10">
      <c r="D850" s="577"/>
      <c r="E850" s="577"/>
      <c r="F850" s="577"/>
      <c r="G850" s="577"/>
      <c r="H850" s="577"/>
      <c r="I850" s="577"/>
      <c r="J850" s="513"/>
    </row>
    <row r="851" customHeight="1" spans="4:10">
      <c r="D851" s="577"/>
      <c r="E851" s="577"/>
      <c r="F851" s="577"/>
      <c r="G851" s="577"/>
      <c r="H851" s="577"/>
      <c r="I851" s="577"/>
      <c r="J851" s="513"/>
    </row>
    <row r="852" customHeight="1" spans="4:10">
      <c r="D852" s="577"/>
      <c r="E852" s="577"/>
      <c r="F852" s="577"/>
      <c r="G852" s="577"/>
      <c r="H852" s="577"/>
      <c r="I852" s="577"/>
      <c r="J852" s="513"/>
    </row>
    <row r="853" customHeight="1" spans="4:10">
      <c r="D853" s="577"/>
      <c r="E853" s="577"/>
      <c r="F853" s="577"/>
      <c r="G853" s="577"/>
      <c r="H853" s="577"/>
      <c r="I853" s="577"/>
      <c r="J853" s="513"/>
    </row>
    <row r="854" customHeight="1" spans="4:10">
      <c r="D854" s="577"/>
      <c r="E854" s="577"/>
      <c r="F854" s="577"/>
      <c r="G854" s="577"/>
      <c r="H854" s="577"/>
      <c r="I854" s="577"/>
      <c r="J854" s="513"/>
    </row>
    <row r="855" customHeight="1" spans="4:10">
      <c r="D855" s="577"/>
      <c r="E855" s="577"/>
      <c r="F855" s="577"/>
      <c r="G855" s="577"/>
      <c r="H855" s="577"/>
      <c r="I855" s="577"/>
      <c r="J855" s="513"/>
    </row>
    <row r="856" customHeight="1" spans="4:10">
      <c r="D856" s="577"/>
      <c r="E856" s="577"/>
      <c r="F856" s="577"/>
      <c r="G856" s="577"/>
      <c r="H856" s="577"/>
      <c r="I856" s="577"/>
      <c r="J856" s="513"/>
    </row>
    <row r="857" customHeight="1" spans="4:10">
      <c r="D857" s="577"/>
      <c r="E857" s="577"/>
      <c r="F857" s="577"/>
      <c r="G857" s="577"/>
      <c r="H857" s="577"/>
      <c r="I857" s="577"/>
      <c r="J857" s="513"/>
    </row>
    <row r="858" customHeight="1" spans="4:10">
      <c r="D858" s="577"/>
      <c r="E858" s="577"/>
      <c r="F858" s="577"/>
      <c r="G858" s="577"/>
      <c r="H858" s="577"/>
      <c r="I858" s="577"/>
      <c r="J858" s="513"/>
    </row>
    <row r="859" customHeight="1" spans="4:10">
      <c r="D859" s="577"/>
      <c r="E859" s="577"/>
      <c r="F859" s="577"/>
      <c r="G859" s="577"/>
      <c r="H859" s="577"/>
      <c r="I859" s="577"/>
      <c r="J859" s="513"/>
    </row>
    <row r="860" customHeight="1" spans="4:10">
      <c r="D860" s="577"/>
      <c r="E860" s="577"/>
      <c r="F860" s="577"/>
      <c r="G860" s="577"/>
      <c r="H860" s="577"/>
      <c r="I860" s="577"/>
      <c r="J860" s="513"/>
    </row>
    <row r="861" customHeight="1" spans="4:10">
      <c r="D861" s="577"/>
      <c r="E861" s="577"/>
      <c r="F861" s="577"/>
      <c r="G861" s="577"/>
      <c r="H861" s="577"/>
      <c r="I861" s="577"/>
      <c r="J861" s="513"/>
    </row>
    <row r="862" customHeight="1" spans="4:10">
      <c r="D862" s="577"/>
      <c r="E862" s="577"/>
      <c r="F862" s="577"/>
      <c r="G862" s="577"/>
      <c r="H862" s="577"/>
      <c r="I862" s="577"/>
      <c r="J862" s="513"/>
    </row>
    <row r="863" customHeight="1" spans="4:10">
      <c r="D863" s="577"/>
      <c r="E863" s="577"/>
      <c r="F863" s="577"/>
      <c r="G863" s="577"/>
      <c r="H863" s="577"/>
      <c r="I863" s="577"/>
      <c r="J863" s="513"/>
    </row>
    <row r="864" customHeight="1" spans="4:10">
      <c r="D864" s="577"/>
      <c r="E864" s="577"/>
      <c r="F864" s="577"/>
      <c r="G864" s="577"/>
      <c r="H864" s="577"/>
      <c r="I864" s="577"/>
      <c r="J864" s="513"/>
    </row>
    <row r="865" customHeight="1" spans="4:10">
      <c r="D865" s="577"/>
      <c r="E865" s="577"/>
      <c r="F865" s="577"/>
      <c r="G865" s="577"/>
      <c r="H865" s="577"/>
      <c r="I865" s="577"/>
      <c r="J865" s="513"/>
    </row>
    <row r="866" customHeight="1" spans="4:10">
      <c r="D866" s="577"/>
      <c r="E866" s="577"/>
      <c r="F866" s="577"/>
      <c r="G866" s="577"/>
      <c r="H866" s="577"/>
      <c r="I866" s="577"/>
      <c r="J866" s="513"/>
    </row>
    <row r="867" customHeight="1" spans="4:10">
      <c r="D867" s="577"/>
      <c r="E867" s="577"/>
      <c r="F867" s="577"/>
      <c r="G867" s="577"/>
      <c r="H867" s="577"/>
      <c r="I867" s="577"/>
      <c r="J867" s="513"/>
    </row>
    <row r="868" customHeight="1" spans="4:10">
      <c r="D868" s="577"/>
      <c r="E868" s="577"/>
      <c r="F868" s="577"/>
      <c r="G868" s="577"/>
      <c r="H868" s="577"/>
      <c r="I868" s="577"/>
      <c r="J868" s="513"/>
    </row>
    <row r="869" customHeight="1" spans="4:10">
      <c r="D869" s="577"/>
      <c r="E869" s="577"/>
      <c r="F869" s="577"/>
      <c r="G869" s="577"/>
      <c r="H869" s="577"/>
      <c r="I869" s="577"/>
      <c r="J869" s="513"/>
    </row>
    <row r="870" customHeight="1" spans="4:10">
      <c r="D870" s="577"/>
      <c r="E870" s="577"/>
      <c r="F870" s="577"/>
      <c r="G870" s="577"/>
      <c r="H870" s="577"/>
      <c r="I870" s="577"/>
      <c r="J870" s="513"/>
    </row>
    <row r="871" customHeight="1" spans="4:10">
      <c r="D871" s="577"/>
      <c r="E871" s="577"/>
      <c r="F871" s="577"/>
      <c r="G871" s="577"/>
      <c r="H871" s="577"/>
      <c r="I871" s="577"/>
      <c r="J871" s="513"/>
    </row>
    <row r="872" customHeight="1" spans="4:10">
      <c r="D872" s="577"/>
      <c r="E872" s="577"/>
      <c r="F872" s="577"/>
      <c r="G872" s="577"/>
      <c r="H872" s="577"/>
      <c r="I872" s="577"/>
      <c r="J872" s="513"/>
    </row>
    <row r="873" customHeight="1" spans="4:10">
      <c r="D873" s="577"/>
      <c r="E873" s="577"/>
      <c r="F873" s="577"/>
      <c r="G873" s="577"/>
      <c r="H873" s="577"/>
      <c r="I873" s="577"/>
      <c r="J873" s="513"/>
    </row>
    <row r="874" customHeight="1" spans="4:10">
      <c r="D874" s="577"/>
      <c r="E874" s="577"/>
      <c r="F874" s="577"/>
      <c r="G874" s="577"/>
      <c r="H874" s="577"/>
      <c r="I874" s="577"/>
      <c r="J874" s="513"/>
    </row>
    <row r="875" customHeight="1" spans="4:10">
      <c r="D875" s="577"/>
      <c r="E875" s="577"/>
      <c r="F875" s="577"/>
      <c r="G875" s="577"/>
      <c r="H875" s="577"/>
      <c r="I875" s="577"/>
      <c r="J875" s="513"/>
    </row>
    <row r="876" customHeight="1" spans="4:10">
      <c r="D876" s="577"/>
      <c r="E876" s="577"/>
      <c r="F876" s="577"/>
      <c r="G876" s="577"/>
      <c r="H876" s="577"/>
      <c r="I876" s="577"/>
      <c r="J876" s="513"/>
    </row>
    <row r="877" customHeight="1" spans="4:10">
      <c r="D877" s="577"/>
      <c r="E877" s="577"/>
      <c r="F877" s="577"/>
      <c r="G877" s="577"/>
      <c r="H877" s="577"/>
      <c r="I877" s="577"/>
      <c r="J877" s="513"/>
    </row>
    <row r="878" customHeight="1" spans="4:10">
      <c r="D878" s="577"/>
      <c r="E878" s="577"/>
      <c r="F878" s="577"/>
      <c r="G878" s="577"/>
      <c r="H878" s="577"/>
      <c r="I878" s="577"/>
      <c r="J878" s="513"/>
    </row>
    <row r="879" customHeight="1" spans="4:10">
      <c r="D879" s="577"/>
      <c r="E879" s="577"/>
      <c r="F879" s="577"/>
      <c r="G879" s="577"/>
      <c r="H879" s="577"/>
      <c r="I879" s="577"/>
      <c r="J879" s="513"/>
    </row>
    <row r="880" customHeight="1" spans="4:10">
      <c r="D880" s="577"/>
      <c r="E880" s="577"/>
      <c r="F880" s="577"/>
      <c r="G880" s="577"/>
      <c r="H880" s="577"/>
      <c r="I880" s="577"/>
      <c r="J880" s="513"/>
    </row>
    <row r="881" customHeight="1" spans="4:10">
      <c r="D881" s="577"/>
      <c r="E881" s="577"/>
      <c r="F881" s="577"/>
      <c r="G881" s="577"/>
      <c r="H881" s="577"/>
      <c r="I881" s="577"/>
      <c r="J881" s="513"/>
    </row>
    <row r="882" customHeight="1" spans="4:10">
      <c r="D882" s="577"/>
      <c r="E882" s="577"/>
      <c r="F882" s="577"/>
      <c r="G882" s="577"/>
      <c r="H882" s="577"/>
      <c r="I882" s="577"/>
      <c r="J882" s="513"/>
    </row>
    <row r="883" customHeight="1" spans="4:10">
      <c r="D883" s="577"/>
      <c r="E883" s="577"/>
      <c r="F883" s="577"/>
      <c r="G883" s="577"/>
      <c r="H883" s="577"/>
      <c r="I883" s="577"/>
      <c r="J883" s="513"/>
    </row>
    <row r="884" customHeight="1" spans="4:10">
      <c r="D884" s="577"/>
      <c r="E884" s="577"/>
      <c r="F884" s="577"/>
      <c r="G884" s="577"/>
      <c r="H884" s="577"/>
      <c r="I884" s="577"/>
      <c r="J884" s="513"/>
    </row>
    <row r="885" customHeight="1" spans="4:10">
      <c r="D885" s="577"/>
      <c r="E885" s="577"/>
      <c r="F885" s="577"/>
      <c r="G885" s="577"/>
      <c r="H885" s="577"/>
      <c r="I885" s="577"/>
      <c r="J885" s="513"/>
    </row>
    <row r="886" customHeight="1" spans="4:10">
      <c r="D886" s="577"/>
      <c r="E886" s="577"/>
      <c r="F886" s="577"/>
      <c r="G886" s="577"/>
      <c r="H886" s="577"/>
      <c r="I886" s="577"/>
      <c r="J886" s="513"/>
    </row>
    <row r="887" customHeight="1" spans="4:10">
      <c r="D887" s="577"/>
      <c r="E887" s="577"/>
      <c r="F887" s="577"/>
      <c r="G887" s="577"/>
      <c r="H887" s="577"/>
      <c r="I887" s="577"/>
      <c r="J887" s="513"/>
    </row>
    <row r="888" customHeight="1" spans="4:10">
      <c r="D888" s="577"/>
      <c r="E888" s="577"/>
      <c r="F888" s="577"/>
      <c r="G888" s="577"/>
      <c r="H888" s="577"/>
      <c r="I888" s="577"/>
      <c r="J888" s="513"/>
    </row>
    <row r="889" customHeight="1" spans="4:10">
      <c r="D889" s="577"/>
      <c r="E889" s="577"/>
      <c r="F889" s="577"/>
      <c r="G889" s="577"/>
      <c r="H889" s="577"/>
      <c r="I889" s="577"/>
      <c r="J889" s="513"/>
    </row>
    <row r="890" customHeight="1" spans="4:10">
      <c r="D890" s="577"/>
      <c r="E890" s="577"/>
      <c r="F890" s="577"/>
      <c r="G890" s="577"/>
      <c r="H890" s="577"/>
      <c r="I890" s="577"/>
      <c r="J890" s="513"/>
    </row>
    <row r="891" customHeight="1" spans="4:10">
      <c r="D891" s="577"/>
      <c r="E891" s="577"/>
      <c r="F891" s="577"/>
      <c r="G891" s="577"/>
      <c r="H891" s="577"/>
      <c r="I891" s="577"/>
      <c r="J891" s="513"/>
    </row>
    <row r="892" customHeight="1" spans="4:10">
      <c r="D892" s="577"/>
      <c r="E892" s="577"/>
      <c r="F892" s="577"/>
      <c r="G892" s="577"/>
      <c r="H892" s="577"/>
      <c r="I892" s="577"/>
      <c r="J892" s="513"/>
    </row>
    <row r="893" customHeight="1" spans="4:10">
      <c r="D893" s="577"/>
      <c r="E893" s="577"/>
      <c r="F893" s="577"/>
      <c r="G893" s="577"/>
      <c r="H893" s="577"/>
      <c r="I893" s="577"/>
      <c r="J893" s="513"/>
    </row>
    <row r="894" customHeight="1" spans="4:10">
      <c r="D894" s="577"/>
      <c r="E894" s="577"/>
      <c r="F894" s="577"/>
      <c r="G894" s="577"/>
      <c r="H894" s="577"/>
      <c r="I894" s="577"/>
      <c r="J894" s="513"/>
    </row>
    <row r="895" customHeight="1" spans="4:10">
      <c r="D895" s="577"/>
      <c r="E895" s="577"/>
      <c r="F895" s="577"/>
      <c r="G895" s="577"/>
      <c r="H895" s="577"/>
      <c r="I895" s="577"/>
      <c r="J895" s="513"/>
    </row>
    <row r="896" customHeight="1" spans="4:10">
      <c r="D896" s="577"/>
      <c r="E896" s="577"/>
      <c r="F896" s="577"/>
      <c r="G896" s="577"/>
      <c r="H896" s="577"/>
      <c r="I896" s="577"/>
      <c r="J896" s="513"/>
    </row>
    <row r="897" customHeight="1" spans="4:10">
      <c r="D897" s="577"/>
      <c r="E897" s="577"/>
      <c r="F897" s="577"/>
      <c r="G897" s="577"/>
      <c r="H897" s="577"/>
      <c r="I897" s="577"/>
      <c r="J897" s="513"/>
    </row>
    <row r="898" customHeight="1" spans="4:10">
      <c r="D898" s="577"/>
      <c r="E898" s="577"/>
      <c r="F898" s="577"/>
      <c r="G898" s="577"/>
      <c r="H898" s="577"/>
      <c r="I898" s="577"/>
      <c r="J898" s="513"/>
    </row>
    <row r="899" customHeight="1" spans="4:10">
      <c r="D899" s="577"/>
      <c r="E899" s="577"/>
      <c r="F899" s="577"/>
      <c r="G899" s="577"/>
      <c r="H899" s="577"/>
      <c r="I899" s="577"/>
      <c r="J899" s="513"/>
    </row>
    <row r="900" customHeight="1" spans="4:10">
      <c r="D900" s="577"/>
      <c r="E900" s="577"/>
      <c r="F900" s="577"/>
      <c r="G900" s="577"/>
      <c r="H900" s="577"/>
      <c r="I900" s="577"/>
      <c r="J900" s="513"/>
    </row>
    <row r="901" customHeight="1" spans="4:10">
      <c r="D901" s="577"/>
      <c r="E901" s="577"/>
      <c r="F901" s="577"/>
      <c r="G901" s="577"/>
      <c r="H901" s="577"/>
      <c r="I901" s="577"/>
      <c r="J901" s="513"/>
    </row>
    <row r="902" customHeight="1" spans="4:10">
      <c r="D902" s="577"/>
      <c r="E902" s="577"/>
      <c r="F902" s="577"/>
      <c r="G902" s="577"/>
      <c r="H902" s="577"/>
      <c r="I902" s="577"/>
      <c r="J902" s="513"/>
    </row>
    <row r="903" customHeight="1" spans="4:10">
      <c r="D903" s="577"/>
      <c r="E903" s="577"/>
      <c r="F903" s="577"/>
      <c r="G903" s="577"/>
      <c r="H903" s="577"/>
      <c r="I903" s="577"/>
      <c r="J903" s="513"/>
    </row>
    <row r="904" customHeight="1" spans="4:10">
      <c r="D904" s="577"/>
      <c r="E904" s="577"/>
      <c r="F904" s="577"/>
      <c r="G904" s="577"/>
      <c r="H904" s="577"/>
      <c r="I904" s="577"/>
      <c r="J904" s="513"/>
    </row>
    <row r="905" customHeight="1" spans="4:10">
      <c r="D905" s="577"/>
      <c r="E905" s="577"/>
      <c r="F905" s="577"/>
      <c r="G905" s="577"/>
      <c r="H905" s="577"/>
      <c r="I905" s="577"/>
      <c r="J905" s="513"/>
    </row>
    <row r="906" customHeight="1" spans="4:10">
      <c r="D906" s="577"/>
      <c r="E906" s="577"/>
      <c r="F906" s="577"/>
      <c r="G906" s="577"/>
      <c r="H906" s="577"/>
      <c r="I906" s="577"/>
      <c r="J906" s="513"/>
    </row>
    <row r="907" customHeight="1" spans="4:10">
      <c r="D907" s="577"/>
      <c r="E907" s="577"/>
      <c r="F907" s="577"/>
      <c r="G907" s="577"/>
      <c r="H907" s="577"/>
      <c r="I907" s="577"/>
      <c r="J907" s="513"/>
    </row>
    <row r="908" customHeight="1" spans="4:10">
      <c r="D908" s="577"/>
      <c r="E908" s="577"/>
      <c r="F908" s="577"/>
      <c r="G908" s="577"/>
      <c r="H908" s="577"/>
      <c r="I908" s="577"/>
      <c r="J908" s="513"/>
    </row>
    <row r="909" customHeight="1" spans="4:10">
      <c r="D909" s="577"/>
      <c r="E909" s="577"/>
      <c r="F909" s="577"/>
      <c r="G909" s="577"/>
      <c r="H909" s="577"/>
      <c r="I909" s="577"/>
      <c r="J909" s="513"/>
    </row>
    <row r="910" customHeight="1" spans="4:10">
      <c r="D910" s="577"/>
      <c r="E910" s="577"/>
      <c r="F910" s="577"/>
      <c r="G910" s="577"/>
      <c r="H910" s="577"/>
      <c r="I910" s="577"/>
      <c r="J910" s="513"/>
    </row>
    <row r="911" customHeight="1" spans="4:10">
      <c r="D911" s="577"/>
      <c r="E911" s="577"/>
      <c r="F911" s="577"/>
      <c r="G911" s="577"/>
      <c r="H911" s="577"/>
      <c r="I911" s="577"/>
      <c r="J911" s="513"/>
    </row>
    <row r="912" customHeight="1" spans="4:10">
      <c r="D912" s="577"/>
      <c r="E912" s="577"/>
      <c r="F912" s="577"/>
      <c r="G912" s="577"/>
      <c r="H912" s="577"/>
      <c r="I912" s="577"/>
      <c r="J912" s="513"/>
    </row>
    <row r="913" customHeight="1" spans="4:10">
      <c r="D913" s="577"/>
      <c r="E913" s="577"/>
      <c r="F913" s="577"/>
      <c r="G913" s="577"/>
      <c r="H913" s="577"/>
      <c r="I913" s="577"/>
      <c r="J913" s="513"/>
    </row>
    <row r="914" customHeight="1" spans="4:10">
      <c r="D914" s="577"/>
      <c r="E914" s="577"/>
      <c r="F914" s="577"/>
      <c r="G914" s="577"/>
      <c r="H914" s="577"/>
      <c r="I914" s="577"/>
      <c r="J914" s="513"/>
    </row>
    <row r="915" customHeight="1" spans="4:10">
      <c r="D915" s="577"/>
      <c r="E915" s="577"/>
      <c r="F915" s="577"/>
      <c r="G915" s="577"/>
      <c r="H915" s="577"/>
      <c r="I915" s="577"/>
      <c r="J915" s="513"/>
    </row>
    <row r="916" customHeight="1" spans="4:10">
      <c r="D916" s="577"/>
      <c r="E916" s="577"/>
      <c r="F916" s="577"/>
      <c r="G916" s="577"/>
      <c r="H916" s="577"/>
      <c r="I916" s="577"/>
      <c r="J916" s="513"/>
    </row>
    <row r="917" customHeight="1" spans="4:10">
      <c r="D917" s="577"/>
      <c r="E917" s="577"/>
      <c r="F917" s="577"/>
      <c r="G917" s="577"/>
      <c r="H917" s="577"/>
      <c r="I917" s="577"/>
      <c r="J917" s="513"/>
    </row>
    <row r="918" customHeight="1" spans="4:10">
      <c r="D918" s="577"/>
      <c r="E918" s="577"/>
      <c r="F918" s="577"/>
      <c r="G918" s="577"/>
      <c r="H918" s="577"/>
      <c r="I918" s="577"/>
      <c r="J918" s="513"/>
    </row>
    <row r="919" customHeight="1" spans="4:10">
      <c r="D919" s="577"/>
      <c r="E919" s="577"/>
      <c r="F919" s="577"/>
      <c r="G919" s="577"/>
      <c r="H919" s="577"/>
      <c r="I919" s="577"/>
      <c r="J919" s="513"/>
    </row>
    <row r="920" customHeight="1" spans="4:10">
      <c r="D920" s="577"/>
      <c r="E920" s="577"/>
      <c r="F920" s="577"/>
      <c r="G920" s="577"/>
      <c r="H920" s="577"/>
      <c r="I920" s="577"/>
      <c r="J920" s="513"/>
    </row>
    <row r="921" customHeight="1" spans="4:10">
      <c r="D921" s="577"/>
      <c r="E921" s="577"/>
      <c r="F921" s="577"/>
      <c r="G921" s="577"/>
      <c r="H921" s="577"/>
      <c r="I921" s="577"/>
      <c r="J921" s="513"/>
    </row>
    <row r="922" customHeight="1" spans="4:10">
      <c r="D922" s="577"/>
      <c r="E922" s="577"/>
      <c r="F922" s="577"/>
      <c r="G922" s="577"/>
      <c r="H922" s="577"/>
      <c r="I922" s="577"/>
      <c r="J922" s="513"/>
    </row>
    <row r="923" customHeight="1" spans="4:10">
      <c r="D923" s="577"/>
      <c r="E923" s="577"/>
      <c r="F923" s="577"/>
      <c r="G923" s="577"/>
      <c r="H923" s="577"/>
      <c r="I923" s="577"/>
      <c r="J923" s="513"/>
    </row>
    <row r="924" customHeight="1" spans="4:10">
      <c r="D924" s="577"/>
      <c r="E924" s="577"/>
      <c r="F924" s="577"/>
      <c r="G924" s="577"/>
      <c r="H924" s="577"/>
      <c r="I924" s="577"/>
      <c r="J924" s="513"/>
    </row>
    <row r="925" customHeight="1" spans="4:10">
      <c r="D925" s="577"/>
      <c r="E925" s="577"/>
      <c r="F925" s="577"/>
      <c r="G925" s="577"/>
      <c r="H925" s="577"/>
      <c r="I925" s="577"/>
      <c r="J925" s="513"/>
    </row>
    <row r="926" customHeight="1" spans="4:10">
      <c r="D926" s="577"/>
      <c r="E926" s="577"/>
      <c r="F926" s="577"/>
      <c r="G926" s="577"/>
      <c r="H926" s="577"/>
      <c r="I926" s="577"/>
      <c r="J926" s="513"/>
    </row>
    <row r="927" customHeight="1" spans="4:10">
      <c r="D927" s="577"/>
      <c r="E927" s="577"/>
      <c r="F927" s="577"/>
      <c r="G927" s="577"/>
      <c r="H927" s="577"/>
      <c r="I927" s="577"/>
      <c r="J927" s="513"/>
    </row>
    <row r="928" customHeight="1" spans="4:10">
      <c r="D928" s="577"/>
      <c r="E928" s="577"/>
      <c r="F928" s="577"/>
      <c r="G928" s="577"/>
      <c r="H928" s="577"/>
      <c r="I928" s="577"/>
      <c r="J928" s="513"/>
    </row>
    <row r="929" customHeight="1" spans="4:10">
      <c r="D929" s="577"/>
      <c r="E929" s="577"/>
      <c r="F929" s="577"/>
      <c r="G929" s="577"/>
      <c r="H929" s="577"/>
      <c r="I929" s="577"/>
      <c r="J929" s="513"/>
    </row>
    <row r="930" customHeight="1" spans="4:10">
      <c r="D930" s="577"/>
      <c r="E930" s="577"/>
      <c r="F930" s="577"/>
      <c r="G930" s="577"/>
      <c r="H930" s="577"/>
      <c r="I930" s="577"/>
      <c r="J930" s="513"/>
    </row>
    <row r="931" customHeight="1" spans="4:10">
      <c r="D931" s="577"/>
      <c r="E931" s="577"/>
      <c r="F931" s="577"/>
      <c r="G931" s="577"/>
      <c r="H931" s="577"/>
      <c r="I931" s="577"/>
      <c r="J931" s="513"/>
    </row>
    <row r="932" customHeight="1" spans="4:10">
      <c r="D932" s="577"/>
      <c r="E932" s="577"/>
      <c r="F932" s="577"/>
      <c r="G932" s="577"/>
      <c r="H932" s="577"/>
      <c r="I932" s="577"/>
      <c r="J932" s="513"/>
    </row>
    <row r="933" customHeight="1" spans="4:10">
      <c r="D933" s="577"/>
      <c r="E933" s="577"/>
      <c r="F933" s="577"/>
      <c r="G933" s="577"/>
      <c r="H933" s="577"/>
      <c r="I933" s="577"/>
      <c r="J933" s="513"/>
    </row>
    <row r="934" customHeight="1" spans="4:10">
      <c r="D934" s="577"/>
      <c r="E934" s="577"/>
      <c r="F934" s="577"/>
      <c r="G934" s="577"/>
      <c r="H934" s="577"/>
      <c r="I934" s="577"/>
      <c r="J934" s="513"/>
    </row>
    <row r="935" customHeight="1" spans="4:10">
      <c r="D935" s="577"/>
      <c r="E935" s="577"/>
      <c r="F935" s="577"/>
      <c r="G935" s="577"/>
      <c r="H935" s="577"/>
      <c r="I935" s="577"/>
      <c r="J935" s="513"/>
    </row>
    <row r="936" customHeight="1" spans="4:10">
      <c r="D936" s="577"/>
      <c r="E936" s="577"/>
      <c r="F936" s="577"/>
      <c r="G936" s="577"/>
      <c r="H936" s="577"/>
      <c r="I936" s="577"/>
      <c r="J936" s="513"/>
    </row>
    <row r="937" customHeight="1" spans="4:10">
      <c r="D937" s="577"/>
      <c r="E937" s="577"/>
      <c r="F937" s="577"/>
      <c r="G937" s="577"/>
      <c r="H937" s="577"/>
      <c r="I937" s="577"/>
      <c r="J937" s="513"/>
    </row>
    <row r="938" customHeight="1" spans="4:10">
      <c r="D938" s="577"/>
      <c r="E938" s="577"/>
      <c r="F938" s="577"/>
      <c r="G938" s="577"/>
      <c r="H938" s="577"/>
      <c r="I938" s="577"/>
      <c r="J938" s="513"/>
    </row>
    <row r="939" customHeight="1" spans="4:10">
      <c r="D939" s="577"/>
      <c r="E939" s="577"/>
      <c r="F939" s="577"/>
      <c r="G939" s="577"/>
      <c r="H939" s="577"/>
      <c r="I939" s="577"/>
      <c r="J939" s="513"/>
    </row>
    <row r="940" customHeight="1" spans="4:10">
      <c r="D940" s="577"/>
      <c r="E940" s="577"/>
      <c r="F940" s="577"/>
      <c r="G940" s="577"/>
      <c r="H940" s="577"/>
      <c r="I940" s="577"/>
      <c r="J940" s="513"/>
    </row>
    <row r="941" customHeight="1" spans="4:10">
      <c r="D941" s="577"/>
      <c r="E941" s="577"/>
      <c r="F941" s="577"/>
      <c r="G941" s="577"/>
      <c r="H941" s="577"/>
      <c r="I941" s="577"/>
      <c r="J941" s="513"/>
    </row>
    <row r="942" customHeight="1" spans="4:10">
      <c r="D942" s="577"/>
      <c r="E942" s="577"/>
      <c r="F942" s="577"/>
      <c r="G942" s="577"/>
      <c r="H942" s="577"/>
      <c r="I942" s="577"/>
      <c r="J942" s="513"/>
    </row>
    <row r="943" customHeight="1" spans="4:10">
      <c r="D943" s="577"/>
      <c r="E943" s="577"/>
      <c r="F943" s="577"/>
      <c r="G943" s="577"/>
      <c r="H943" s="577"/>
      <c r="I943" s="577"/>
      <c r="J943" s="513"/>
    </row>
    <row r="944" customHeight="1" spans="4:10">
      <c r="D944" s="577"/>
      <c r="E944" s="577"/>
      <c r="F944" s="577"/>
      <c r="G944" s="577"/>
      <c r="H944" s="577"/>
      <c r="I944" s="577"/>
      <c r="J944" s="513"/>
    </row>
    <row r="945" customHeight="1" spans="4:10">
      <c r="D945" s="577"/>
      <c r="E945" s="577"/>
      <c r="F945" s="577"/>
      <c r="G945" s="577"/>
      <c r="H945" s="577"/>
      <c r="I945" s="577"/>
      <c r="J945" s="513"/>
    </row>
    <row r="946" customHeight="1" spans="4:10">
      <c r="D946" s="577"/>
      <c r="E946" s="577"/>
      <c r="F946" s="577"/>
      <c r="G946" s="577"/>
      <c r="H946" s="577"/>
      <c r="I946" s="577"/>
      <c r="J946" s="513"/>
    </row>
    <row r="947" customHeight="1" spans="4:10">
      <c r="D947" s="577"/>
      <c r="E947" s="577"/>
      <c r="F947" s="577"/>
      <c r="G947" s="577"/>
      <c r="H947" s="577"/>
      <c r="I947" s="577"/>
      <c r="J947" s="513"/>
    </row>
    <row r="948" customHeight="1" spans="4:10">
      <c r="D948" s="577"/>
      <c r="E948" s="577"/>
      <c r="F948" s="577"/>
      <c r="G948" s="577"/>
      <c r="H948" s="577"/>
      <c r="I948" s="577"/>
      <c r="J948" s="513"/>
    </row>
    <row r="949" customHeight="1" spans="4:10">
      <c r="D949" s="577"/>
      <c r="E949" s="577"/>
      <c r="F949" s="577"/>
      <c r="G949" s="577"/>
      <c r="H949" s="577"/>
      <c r="I949" s="577"/>
      <c r="J949" s="513"/>
    </row>
    <row r="950" customHeight="1" spans="4:10">
      <c r="D950" s="577"/>
      <c r="E950" s="577"/>
      <c r="F950" s="577"/>
      <c r="G950" s="577"/>
      <c r="H950" s="577"/>
      <c r="I950" s="577"/>
      <c r="J950" s="513"/>
    </row>
    <row r="951" customHeight="1" spans="4:10">
      <c r="D951" s="577"/>
      <c r="E951" s="577"/>
      <c r="F951" s="577"/>
      <c r="G951" s="577"/>
      <c r="H951" s="577"/>
      <c r="I951" s="577"/>
      <c r="J951" s="513"/>
    </row>
    <row r="952" customHeight="1" spans="4:10">
      <c r="D952" s="577"/>
      <c r="E952" s="577"/>
      <c r="F952" s="577"/>
      <c r="G952" s="577"/>
      <c r="H952" s="577"/>
      <c r="I952" s="577"/>
      <c r="J952" s="513"/>
    </row>
    <row r="953" customHeight="1" spans="4:10">
      <c r="D953" s="577"/>
      <c r="E953" s="577"/>
      <c r="F953" s="577"/>
      <c r="G953" s="577"/>
      <c r="H953" s="577"/>
      <c r="I953" s="577"/>
      <c r="J953" s="513"/>
    </row>
    <row r="954" customHeight="1" spans="4:10">
      <c r="D954" s="577"/>
      <c r="E954" s="577"/>
      <c r="F954" s="577"/>
      <c r="G954" s="577"/>
      <c r="H954" s="577"/>
      <c r="I954" s="577"/>
      <c r="J954" s="513"/>
    </row>
    <row r="955" customHeight="1" spans="4:10">
      <c r="D955" s="577"/>
      <c r="E955" s="577"/>
      <c r="F955" s="577"/>
      <c r="G955" s="577"/>
      <c r="H955" s="577"/>
      <c r="I955" s="577"/>
      <c r="J955" s="513"/>
    </row>
    <row r="956" customHeight="1" spans="4:10">
      <c r="D956" s="577"/>
      <c r="E956" s="577"/>
      <c r="F956" s="577"/>
      <c r="G956" s="577"/>
      <c r="H956" s="577"/>
      <c r="I956" s="577"/>
      <c r="J956" s="513"/>
    </row>
    <row r="957" customHeight="1" spans="4:10">
      <c r="D957" s="577"/>
      <c r="E957" s="577"/>
      <c r="F957" s="577"/>
      <c r="G957" s="577"/>
      <c r="H957" s="577"/>
      <c r="I957" s="577"/>
      <c r="J957" s="513"/>
    </row>
    <row r="958" customHeight="1" spans="4:10">
      <c r="D958" s="577"/>
      <c r="E958" s="577"/>
      <c r="F958" s="577"/>
      <c r="G958" s="577"/>
      <c r="H958" s="577"/>
      <c r="I958" s="577"/>
      <c r="J958" s="513"/>
    </row>
    <row r="959" customHeight="1" spans="4:10">
      <c r="D959" s="577"/>
      <c r="E959" s="577"/>
      <c r="F959" s="577"/>
      <c r="G959" s="577"/>
      <c r="H959" s="577"/>
      <c r="I959" s="577"/>
      <c r="J959" s="513"/>
    </row>
    <row r="960" customHeight="1" spans="4:10">
      <c r="D960" s="577"/>
      <c r="E960" s="577"/>
      <c r="F960" s="577"/>
      <c r="G960" s="577"/>
      <c r="H960" s="577"/>
      <c r="I960" s="577"/>
      <c r="J960" s="513"/>
    </row>
    <row r="961" customHeight="1" spans="4:10">
      <c r="D961" s="577"/>
      <c r="E961" s="577"/>
      <c r="F961" s="577"/>
      <c r="G961" s="577"/>
      <c r="H961" s="577"/>
      <c r="I961" s="577"/>
      <c r="J961" s="513"/>
    </row>
    <row r="962" customHeight="1" spans="4:10">
      <c r="D962" s="577"/>
      <c r="E962" s="577"/>
      <c r="F962" s="577"/>
      <c r="G962" s="577"/>
      <c r="H962" s="577"/>
      <c r="I962" s="577"/>
      <c r="J962" s="513"/>
    </row>
    <row r="963" customHeight="1" spans="4:10">
      <c r="D963" s="577"/>
      <c r="E963" s="577"/>
      <c r="F963" s="577"/>
      <c r="G963" s="577"/>
      <c r="H963" s="577"/>
      <c r="I963" s="577"/>
      <c r="J963" s="513"/>
    </row>
    <row r="964" customHeight="1" spans="4:10">
      <c r="D964" s="577"/>
      <c r="E964" s="577"/>
      <c r="F964" s="577"/>
      <c r="G964" s="577"/>
      <c r="H964" s="577"/>
      <c r="I964" s="577"/>
      <c r="J964" s="513"/>
    </row>
    <row r="965" customHeight="1" spans="4:10">
      <c r="D965" s="577"/>
      <c r="E965" s="577"/>
      <c r="F965" s="577"/>
      <c r="G965" s="577"/>
      <c r="H965" s="577"/>
      <c r="I965" s="577"/>
      <c r="J965" s="513"/>
    </row>
    <row r="966" customHeight="1" spans="4:10">
      <c r="D966" s="577"/>
      <c r="E966" s="577"/>
      <c r="F966" s="577"/>
      <c r="G966" s="577"/>
      <c r="H966" s="577"/>
      <c r="I966" s="577"/>
      <c r="J966" s="513"/>
    </row>
    <row r="967" customHeight="1" spans="4:10">
      <c r="D967" s="577"/>
      <c r="E967" s="577"/>
      <c r="F967" s="577"/>
      <c r="G967" s="577"/>
      <c r="H967" s="577"/>
      <c r="I967" s="577"/>
      <c r="J967" s="513"/>
    </row>
    <row r="968" customHeight="1" spans="4:10">
      <c r="D968" s="577"/>
      <c r="E968" s="577"/>
      <c r="F968" s="577"/>
      <c r="G968" s="577"/>
      <c r="H968" s="577"/>
      <c r="I968" s="577"/>
      <c r="J968" s="513"/>
    </row>
    <row r="969" customHeight="1" spans="4:10">
      <c r="D969" s="577"/>
      <c r="E969" s="577"/>
      <c r="F969" s="577"/>
      <c r="G969" s="577"/>
      <c r="H969" s="577"/>
      <c r="I969" s="577"/>
      <c r="J969" s="513"/>
    </row>
    <row r="970" customHeight="1" spans="4:10">
      <c r="D970" s="577"/>
      <c r="E970" s="577"/>
      <c r="F970" s="577"/>
      <c r="G970" s="577"/>
      <c r="H970" s="577"/>
      <c r="I970" s="577"/>
      <c r="J970" s="513"/>
    </row>
    <row r="971" customHeight="1" spans="4:10">
      <c r="D971" s="577"/>
      <c r="E971" s="577"/>
      <c r="F971" s="577"/>
      <c r="G971" s="577"/>
      <c r="H971" s="577"/>
      <c r="I971" s="577"/>
      <c r="J971" s="513"/>
    </row>
    <row r="972" customHeight="1" spans="4:10">
      <c r="D972" s="577"/>
      <c r="E972" s="577"/>
      <c r="F972" s="577"/>
      <c r="G972" s="577"/>
      <c r="H972" s="577"/>
      <c r="I972" s="577"/>
      <c r="J972" s="513"/>
    </row>
    <row r="973" customHeight="1" spans="4:10">
      <c r="D973" s="577"/>
      <c r="E973" s="577"/>
      <c r="F973" s="577"/>
      <c r="G973" s="577"/>
      <c r="H973" s="577"/>
      <c r="I973" s="577"/>
      <c r="J973" s="513"/>
    </row>
    <row r="974" customHeight="1" spans="4:10">
      <c r="D974" s="577"/>
      <c r="E974" s="577"/>
      <c r="F974" s="577"/>
      <c r="G974" s="577"/>
      <c r="H974" s="577"/>
      <c r="I974" s="577"/>
      <c r="J974" s="513"/>
    </row>
    <row r="975" customHeight="1" spans="4:10">
      <c r="D975" s="577"/>
      <c r="E975" s="577"/>
      <c r="F975" s="577"/>
      <c r="G975" s="577"/>
      <c r="H975" s="577"/>
      <c r="I975" s="577"/>
      <c r="J975" s="513"/>
    </row>
    <row r="976" customHeight="1" spans="4:10">
      <c r="D976" s="577"/>
      <c r="E976" s="577"/>
      <c r="F976" s="577"/>
      <c r="G976" s="577"/>
      <c r="H976" s="577"/>
      <c r="I976" s="577"/>
      <c r="J976" s="513"/>
    </row>
    <row r="977" customHeight="1" spans="4:10">
      <c r="D977" s="577"/>
      <c r="E977" s="577"/>
      <c r="F977" s="577"/>
      <c r="G977" s="577"/>
      <c r="H977" s="577"/>
      <c r="I977" s="577"/>
      <c r="J977" s="513"/>
    </row>
    <row r="978" customHeight="1" spans="4:10">
      <c r="D978" s="577"/>
      <c r="E978" s="577"/>
      <c r="F978" s="577"/>
      <c r="G978" s="577"/>
      <c r="H978" s="577"/>
      <c r="I978" s="577"/>
      <c r="J978" s="513"/>
    </row>
    <row r="979" customHeight="1" spans="4:10">
      <c r="D979" s="577"/>
      <c r="E979" s="577"/>
      <c r="F979" s="577"/>
      <c r="G979" s="577"/>
      <c r="H979" s="577"/>
      <c r="I979" s="577"/>
      <c r="J979" s="513"/>
    </row>
    <row r="980" customHeight="1" spans="4:10">
      <c r="D980" s="577"/>
      <c r="E980" s="577"/>
      <c r="F980" s="577"/>
      <c r="G980" s="577"/>
      <c r="H980" s="577"/>
      <c r="I980" s="577"/>
      <c r="J980" s="513"/>
    </row>
    <row r="981" customHeight="1" spans="4:10">
      <c r="D981" s="577"/>
      <c r="E981" s="577"/>
      <c r="F981" s="577"/>
      <c r="G981" s="577"/>
      <c r="H981" s="577"/>
      <c r="I981" s="577"/>
      <c r="J981" s="513"/>
    </row>
    <row r="982" customHeight="1" spans="4:10">
      <c r="D982" s="577"/>
      <c r="E982" s="577"/>
      <c r="F982" s="577"/>
      <c r="G982" s="577"/>
      <c r="H982" s="577"/>
      <c r="I982" s="577"/>
      <c r="J982" s="513"/>
    </row>
    <row r="983" customHeight="1" spans="4:10">
      <c r="D983" s="577"/>
      <c r="E983" s="577"/>
      <c r="F983" s="577"/>
      <c r="G983" s="577"/>
      <c r="H983" s="577"/>
      <c r="I983" s="577"/>
      <c r="J983" s="513"/>
    </row>
    <row r="984" customHeight="1" spans="4:10">
      <c r="D984" s="577"/>
      <c r="E984" s="577"/>
      <c r="F984" s="577"/>
      <c r="G984" s="577"/>
      <c r="H984" s="577"/>
      <c r="I984" s="577"/>
      <c r="J984" s="513"/>
    </row>
    <row r="985" customHeight="1" spans="4:10">
      <c r="D985" s="577"/>
      <c r="E985" s="577"/>
      <c r="F985" s="577"/>
      <c r="G985" s="577"/>
      <c r="H985" s="577"/>
      <c r="I985" s="577"/>
      <c r="J985" s="513"/>
    </row>
    <row r="986" customHeight="1" spans="4:10">
      <c r="D986" s="577"/>
      <c r="E986" s="577"/>
      <c r="F986" s="577"/>
      <c r="G986" s="577"/>
      <c r="H986" s="577"/>
      <c r="I986" s="577"/>
      <c r="J986" s="513"/>
    </row>
    <row r="987" customHeight="1" spans="4:10">
      <c r="D987" s="577"/>
      <c r="E987" s="577"/>
      <c r="F987" s="577"/>
      <c r="G987" s="577"/>
      <c r="H987" s="577"/>
      <c r="I987" s="577"/>
      <c r="J987" s="513"/>
    </row>
    <row r="988" customHeight="1" spans="4:10">
      <c r="D988" s="577"/>
      <c r="E988" s="577"/>
      <c r="F988" s="577"/>
      <c r="G988" s="577"/>
      <c r="H988" s="577"/>
      <c r="I988" s="577"/>
      <c r="J988" s="513"/>
    </row>
    <row r="989" customHeight="1" spans="4:10">
      <c r="D989" s="577"/>
      <c r="E989" s="577"/>
      <c r="F989" s="577"/>
      <c r="G989" s="577"/>
      <c r="H989" s="577"/>
      <c r="I989" s="577"/>
      <c r="J989" s="513"/>
    </row>
    <row r="990" customHeight="1" spans="4:10">
      <c r="D990" s="577"/>
      <c r="E990" s="577"/>
      <c r="F990" s="577"/>
      <c r="G990" s="577"/>
      <c r="H990" s="577"/>
      <c r="I990" s="577"/>
      <c r="J990" s="513"/>
    </row>
    <row r="991" customHeight="1" spans="4:10">
      <c r="D991" s="577"/>
      <c r="E991" s="577"/>
      <c r="F991" s="577"/>
      <c r="G991" s="577"/>
      <c r="H991" s="577"/>
      <c r="I991" s="577"/>
      <c r="J991" s="513"/>
    </row>
    <row r="992" customHeight="1" spans="4:10">
      <c r="D992" s="577"/>
      <c r="E992" s="577"/>
      <c r="F992" s="577"/>
      <c r="G992" s="577"/>
      <c r="H992" s="577"/>
      <c r="I992" s="577"/>
      <c r="J992" s="513"/>
    </row>
    <row r="993" customHeight="1" spans="4:10">
      <c r="D993" s="577"/>
      <c r="E993" s="577"/>
      <c r="F993" s="577"/>
      <c r="G993" s="577"/>
      <c r="H993" s="577"/>
      <c r="I993" s="577"/>
      <c r="J993" s="513"/>
    </row>
    <row r="994" customHeight="1" spans="4:10">
      <c r="D994" s="577"/>
      <c r="E994" s="577"/>
      <c r="F994" s="577"/>
      <c r="G994" s="577"/>
      <c r="H994" s="577"/>
      <c r="I994" s="577"/>
      <c r="J994" s="513"/>
    </row>
    <row r="995" customHeight="1" spans="4:10">
      <c r="D995" s="577"/>
      <c r="E995" s="577"/>
      <c r="F995" s="577"/>
      <c r="G995" s="577"/>
      <c r="H995" s="577"/>
      <c r="I995" s="577"/>
      <c r="J995" s="513"/>
    </row>
    <row r="996" customHeight="1" spans="4:10">
      <c r="D996" s="577"/>
      <c r="E996" s="577"/>
      <c r="F996" s="577"/>
      <c r="G996" s="577"/>
      <c r="H996" s="577"/>
      <c r="I996" s="577"/>
      <c r="J996" s="513"/>
    </row>
    <row r="997" customHeight="1" spans="4:10">
      <c r="D997" s="577"/>
      <c r="E997" s="577"/>
      <c r="F997" s="577"/>
      <c r="G997" s="577"/>
      <c r="H997" s="577"/>
      <c r="I997" s="577"/>
      <c r="J997" s="513"/>
    </row>
    <row r="998" customHeight="1" spans="4:10">
      <c r="D998" s="577"/>
      <c r="E998" s="577"/>
      <c r="F998" s="577"/>
      <c r="G998" s="577"/>
      <c r="H998" s="577"/>
      <c r="I998" s="577"/>
      <c r="J998" s="513"/>
    </row>
    <row r="999" customHeight="1" spans="4:10">
      <c r="D999" s="577"/>
      <c r="E999" s="577"/>
      <c r="F999" s="577"/>
      <c r="G999" s="577"/>
      <c r="H999" s="577"/>
      <c r="I999" s="577"/>
      <c r="J999" s="513"/>
    </row>
    <row r="1000" customHeight="1" spans="4:10">
      <c r="D1000" s="577"/>
      <c r="E1000" s="577"/>
      <c r="F1000" s="577"/>
      <c r="G1000" s="577"/>
      <c r="H1000" s="577"/>
      <c r="I1000" s="577"/>
      <c r="J1000" s="513"/>
    </row>
    <row r="1001" customHeight="1" spans="4:10">
      <c r="D1001" s="577"/>
      <c r="E1001" s="577"/>
      <c r="F1001" s="577"/>
      <c r="G1001" s="577"/>
      <c r="H1001" s="577"/>
      <c r="I1001" s="577"/>
      <c r="J1001" s="513"/>
    </row>
    <row r="1002" customHeight="1" spans="4:10">
      <c r="D1002" s="577"/>
      <c r="E1002" s="577"/>
      <c r="F1002" s="577"/>
      <c r="G1002" s="577"/>
      <c r="H1002" s="577"/>
      <c r="I1002" s="577"/>
      <c r="J1002" s="513"/>
    </row>
    <row r="1003" customHeight="1" spans="4:10">
      <c r="D1003" s="577"/>
      <c r="E1003" s="577"/>
      <c r="F1003" s="577"/>
      <c r="G1003" s="577"/>
      <c r="H1003" s="577"/>
      <c r="I1003" s="577"/>
      <c r="J1003" s="513"/>
    </row>
    <row r="1004" customHeight="1" spans="4:10">
      <c r="D1004" s="577"/>
      <c r="E1004" s="577"/>
      <c r="F1004" s="577"/>
      <c r="G1004" s="577"/>
      <c r="H1004" s="577"/>
      <c r="I1004" s="577"/>
      <c r="J1004" s="513"/>
    </row>
    <row r="1005" customHeight="1" spans="4:10">
      <c r="D1005" s="577"/>
      <c r="E1005" s="577"/>
      <c r="F1005" s="577"/>
      <c r="G1005" s="577"/>
      <c r="H1005" s="577"/>
      <c r="I1005" s="577"/>
      <c r="J1005" s="513"/>
    </row>
    <row r="1006" customHeight="1" spans="4:10">
      <c r="D1006" s="577"/>
      <c r="E1006" s="577"/>
      <c r="F1006" s="577"/>
      <c r="G1006" s="577"/>
      <c r="H1006" s="577"/>
      <c r="I1006" s="577"/>
      <c r="J1006" s="513"/>
    </row>
    <row r="1007" customHeight="1" spans="4:10">
      <c r="D1007" s="577"/>
      <c r="E1007" s="577"/>
      <c r="F1007" s="577"/>
      <c r="G1007" s="577"/>
      <c r="H1007" s="577"/>
      <c r="I1007" s="577"/>
      <c r="J1007" s="513"/>
    </row>
    <row r="1008" customHeight="1" spans="4:10">
      <c r="D1008" s="577"/>
      <c r="E1008" s="577"/>
      <c r="F1008" s="577"/>
      <c r="G1008" s="577"/>
      <c r="H1008" s="577"/>
      <c r="I1008" s="577"/>
      <c r="J1008" s="513"/>
    </row>
    <row r="1009" customHeight="1" spans="4:10">
      <c r="D1009" s="577"/>
      <c r="E1009" s="577"/>
      <c r="F1009" s="577"/>
      <c r="G1009" s="577"/>
      <c r="H1009" s="577"/>
      <c r="I1009" s="577"/>
      <c r="J1009" s="513"/>
    </row>
    <row r="1010" customHeight="1" spans="4:10">
      <c r="D1010" s="577"/>
      <c r="E1010" s="577"/>
      <c r="F1010" s="577"/>
      <c r="G1010" s="577"/>
      <c r="H1010" s="577"/>
      <c r="I1010" s="577"/>
      <c r="J1010" s="513"/>
    </row>
    <row r="1011" customHeight="1" spans="4:10">
      <c r="D1011" s="577"/>
      <c r="E1011" s="577"/>
      <c r="F1011" s="577"/>
      <c r="G1011" s="577"/>
      <c r="H1011" s="577"/>
      <c r="I1011" s="577"/>
      <c r="J1011" s="513"/>
    </row>
    <row r="1012" customHeight="1" spans="4:10">
      <c r="D1012" s="577"/>
      <c r="E1012" s="577"/>
      <c r="F1012" s="577"/>
      <c r="G1012" s="577"/>
      <c r="H1012" s="577"/>
      <c r="I1012" s="577"/>
      <c r="J1012" s="513"/>
    </row>
    <row r="1013" customHeight="1" spans="4:10">
      <c r="D1013" s="577"/>
      <c r="E1013" s="577"/>
      <c r="F1013" s="577"/>
      <c r="G1013" s="577"/>
      <c r="H1013" s="577"/>
      <c r="I1013" s="577"/>
      <c r="J1013" s="513"/>
    </row>
    <row r="1014" customHeight="1" spans="4:10">
      <c r="D1014" s="577"/>
      <c r="E1014" s="577"/>
      <c r="F1014" s="577"/>
      <c r="G1014" s="577"/>
      <c r="H1014" s="577"/>
      <c r="I1014" s="577"/>
      <c r="J1014" s="513"/>
    </row>
    <row r="1015" customHeight="1" spans="4:10">
      <c r="D1015" s="577"/>
      <c r="E1015" s="577"/>
      <c r="F1015" s="577"/>
      <c r="G1015" s="577"/>
      <c r="H1015" s="577"/>
      <c r="I1015" s="577"/>
      <c r="J1015" s="513"/>
    </row>
    <row r="1016" customHeight="1" spans="4:10">
      <c r="D1016" s="577"/>
      <c r="E1016" s="577"/>
      <c r="F1016" s="577"/>
      <c r="G1016" s="577"/>
      <c r="H1016" s="577"/>
      <c r="I1016" s="577"/>
      <c r="J1016" s="513"/>
    </row>
    <row r="1017" customHeight="1" spans="4:10">
      <c r="D1017" s="577"/>
      <c r="E1017" s="577"/>
      <c r="F1017" s="577"/>
      <c r="G1017" s="577"/>
      <c r="H1017" s="577"/>
      <c r="I1017" s="577"/>
      <c r="J1017" s="513"/>
    </row>
    <row r="1018" customHeight="1" spans="4:10">
      <c r="D1018" s="577"/>
      <c r="E1018" s="577"/>
      <c r="F1018" s="577"/>
      <c r="G1018" s="577"/>
      <c r="H1018" s="577"/>
      <c r="I1018" s="577"/>
      <c r="J1018" s="513"/>
    </row>
    <row r="1019" customHeight="1" spans="4:10">
      <c r="D1019" s="577"/>
      <c r="E1019" s="577"/>
      <c r="F1019" s="577"/>
      <c r="G1019" s="577"/>
      <c r="H1019" s="577"/>
      <c r="I1019" s="577"/>
      <c r="J1019" s="513"/>
    </row>
    <row r="1020" customHeight="1" spans="4:10">
      <c r="D1020" s="577"/>
      <c r="E1020" s="577"/>
      <c r="F1020" s="577"/>
      <c r="G1020" s="577"/>
      <c r="H1020" s="577"/>
      <c r="I1020" s="577"/>
      <c r="J1020" s="513"/>
    </row>
    <row r="1021" customHeight="1" spans="4:10">
      <c r="D1021" s="577"/>
      <c r="E1021" s="577"/>
      <c r="F1021" s="577"/>
      <c r="G1021" s="577"/>
      <c r="H1021" s="577"/>
      <c r="I1021" s="577"/>
      <c r="J1021" s="513"/>
    </row>
    <row r="1022" customHeight="1" spans="4:10">
      <c r="D1022" s="577"/>
      <c r="E1022" s="577"/>
      <c r="F1022" s="577"/>
      <c r="G1022" s="577"/>
      <c r="H1022" s="577"/>
      <c r="I1022" s="577"/>
      <c r="J1022" s="513"/>
    </row>
    <row r="1023" customHeight="1" spans="4:10">
      <c r="D1023" s="577"/>
      <c r="E1023" s="577"/>
      <c r="F1023" s="577"/>
      <c r="G1023" s="577"/>
      <c r="H1023" s="577"/>
      <c r="I1023" s="577"/>
      <c r="J1023" s="513"/>
    </row>
    <row r="1024" customHeight="1" spans="4:10">
      <c r="D1024" s="577"/>
      <c r="E1024" s="577"/>
      <c r="F1024" s="577"/>
      <c r="G1024" s="577"/>
      <c r="H1024" s="577"/>
      <c r="I1024" s="577"/>
      <c r="J1024" s="513"/>
    </row>
    <row r="1025" customHeight="1" spans="4:10">
      <c r="D1025" s="577"/>
      <c r="E1025" s="577"/>
      <c r="F1025" s="577"/>
      <c r="G1025" s="577"/>
      <c r="H1025" s="577"/>
      <c r="I1025" s="577"/>
      <c r="J1025" s="513"/>
    </row>
    <row r="1026" customHeight="1" spans="4:10">
      <c r="D1026" s="577"/>
      <c r="E1026" s="577"/>
      <c r="F1026" s="577"/>
      <c r="G1026" s="577"/>
      <c r="H1026" s="577"/>
      <c r="I1026" s="577"/>
      <c r="J1026" s="513"/>
    </row>
    <row r="1027" customHeight="1" spans="4:10">
      <c r="D1027" s="577"/>
      <c r="E1027" s="577"/>
      <c r="F1027" s="577"/>
      <c r="G1027" s="577"/>
      <c r="H1027" s="577"/>
      <c r="I1027" s="577"/>
      <c r="J1027" s="513"/>
    </row>
    <row r="1028" customHeight="1" spans="4:10">
      <c r="D1028" s="577"/>
      <c r="E1028" s="577"/>
      <c r="F1028" s="577"/>
      <c r="G1028" s="577"/>
      <c r="H1028" s="577"/>
      <c r="I1028" s="577"/>
      <c r="J1028" s="513"/>
    </row>
    <row r="1029" customHeight="1" spans="4:10">
      <c r="D1029" s="577"/>
      <c r="E1029" s="577"/>
      <c r="F1029" s="577"/>
      <c r="G1029" s="577"/>
      <c r="H1029" s="577"/>
      <c r="I1029" s="577"/>
      <c r="J1029" s="513"/>
    </row>
    <row r="1030" customHeight="1" spans="4:10">
      <c r="D1030" s="577"/>
      <c r="E1030" s="577"/>
      <c r="F1030" s="577"/>
      <c r="G1030" s="577"/>
      <c r="H1030" s="577"/>
      <c r="I1030" s="577"/>
      <c r="J1030" s="513"/>
    </row>
    <row r="1031" customHeight="1" spans="4:10">
      <c r="D1031" s="577"/>
      <c r="E1031" s="577"/>
      <c r="F1031" s="577"/>
      <c r="G1031" s="577"/>
      <c r="H1031" s="577"/>
      <c r="I1031" s="577"/>
      <c r="J1031" s="513"/>
    </row>
    <row r="1032" customHeight="1" spans="4:10">
      <c r="D1032" s="577"/>
      <c r="E1032" s="577"/>
      <c r="F1032" s="577"/>
      <c r="G1032" s="577"/>
      <c r="H1032" s="577"/>
      <c r="I1032" s="577"/>
      <c r="J1032" s="513"/>
    </row>
    <row r="1033" customHeight="1" spans="4:10">
      <c r="D1033" s="577"/>
      <c r="E1033" s="577"/>
      <c r="F1033" s="577"/>
      <c r="G1033" s="577"/>
      <c r="H1033" s="577"/>
      <c r="I1033" s="577"/>
      <c r="J1033" s="513"/>
    </row>
    <row r="1034" customHeight="1" spans="4:10">
      <c r="D1034" s="577"/>
      <c r="E1034" s="577"/>
      <c r="F1034" s="577"/>
      <c r="G1034" s="577"/>
      <c r="H1034" s="577"/>
      <c r="I1034" s="577"/>
      <c r="J1034" s="513"/>
    </row>
    <row r="1035" customHeight="1" spans="4:10">
      <c r="D1035" s="577"/>
      <c r="E1035" s="577"/>
      <c r="F1035" s="577"/>
      <c r="G1035" s="577"/>
      <c r="H1035" s="577"/>
      <c r="I1035" s="577"/>
      <c r="J1035" s="513"/>
    </row>
    <row r="1036" customHeight="1" spans="4:10">
      <c r="D1036" s="577"/>
      <c r="E1036" s="577"/>
      <c r="F1036" s="577"/>
      <c r="G1036" s="577"/>
      <c r="H1036" s="577"/>
      <c r="I1036" s="577"/>
      <c r="J1036" s="513"/>
    </row>
    <row r="1037" customHeight="1" spans="4:10">
      <c r="D1037" s="577"/>
      <c r="E1037" s="577"/>
      <c r="F1037" s="577"/>
      <c r="G1037" s="577"/>
      <c r="H1037" s="577"/>
      <c r="I1037" s="577"/>
      <c r="J1037" s="513"/>
    </row>
    <row r="1038" customHeight="1" spans="4:10">
      <c r="D1038" s="577"/>
      <c r="E1038" s="577"/>
      <c r="F1038" s="577"/>
      <c r="G1038" s="577"/>
      <c r="H1038" s="577"/>
      <c r="I1038" s="577"/>
      <c r="J1038" s="513"/>
    </row>
    <row r="1039" customHeight="1" spans="4:10">
      <c r="D1039" s="577"/>
      <c r="E1039" s="577"/>
      <c r="F1039" s="577"/>
      <c r="G1039" s="577"/>
      <c r="H1039" s="577"/>
      <c r="I1039" s="577"/>
      <c r="J1039" s="513"/>
    </row>
    <row r="1040" customHeight="1" spans="4:10">
      <c r="D1040" s="577"/>
      <c r="E1040" s="577"/>
      <c r="F1040" s="577"/>
      <c r="G1040" s="577"/>
      <c r="H1040" s="577"/>
      <c r="I1040" s="577"/>
      <c r="J1040" s="513"/>
    </row>
    <row r="1041" customHeight="1" spans="4:10">
      <c r="D1041" s="577"/>
      <c r="E1041" s="577"/>
      <c r="F1041" s="577"/>
      <c r="G1041" s="577"/>
      <c r="H1041" s="577"/>
      <c r="I1041" s="577"/>
      <c r="J1041" s="513"/>
    </row>
    <row r="1042" customHeight="1" spans="4:10">
      <c r="D1042" s="577"/>
      <c r="E1042" s="577"/>
      <c r="F1042" s="577"/>
      <c r="G1042" s="577"/>
      <c r="H1042" s="577"/>
      <c r="I1042" s="577"/>
      <c r="J1042" s="513"/>
    </row>
    <row r="1043" customHeight="1" spans="4:10">
      <c r="D1043" s="577"/>
      <c r="E1043" s="577"/>
      <c r="F1043" s="577"/>
      <c r="G1043" s="577"/>
      <c r="H1043" s="577"/>
      <c r="I1043" s="577"/>
      <c r="J1043" s="513"/>
    </row>
    <row r="1044" customHeight="1" spans="4:10">
      <c r="D1044" s="577"/>
      <c r="E1044" s="577"/>
      <c r="F1044" s="577"/>
      <c r="G1044" s="577"/>
      <c r="H1044" s="577"/>
      <c r="I1044" s="577"/>
      <c r="J1044" s="513"/>
    </row>
    <row r="1045" customHeight="1" spans="4:10">
      <c r="D1045" s="577"/>
      <c r="E1045" s="577"/>
      <c r="F1045" s="577"/>
      <c r="G1045" s="577"/>
      <c r="H1045" s="577"/>
      <c r="I1045" s="577"/>
      <c r="J1045" s="513"/>
    </row>
    <row r="1046" customHeight="1" spans="4:10">
      <c r="D1046" s="577"/>
      <c r="E1046" s="577"/>
      <c r="F1046" s="577"/>
      <c r="G1046" s="577"/>
      <c r="H1046" s="577"/>
      <c r="I1046" s="577"/>
      <c r="J1046" s="513"/>
    </row>
    <row r="1047" customHeight="1" spans="4:10">
      <c r="D1047" s="577"/>
      <c r="E1047" s="577"/>
      <c r="F1047" s="577"/>
      <c r="G1047" s="577"/>
      <c r="H1047" s="577"/>
      <c r="I1047" s="577"/>
      <c r="J1047" s="513"/>
    </row>
    <row r="1048" customHeight="1" spans="4:10">
      <c r="D1048" s="577"/>
      <c r="E1048" s="577"/>
      <c r="F1048" s="577"/>
      <c r="G1048" s="577"/>
      <c r="H1048" s="577"/>
      <c r="I1048" s="577"/>
      <c r="J1048" s="513"/>
    </row>
    <row r="1049" customHeight="1" spans="4:10">
      <c r="D1049" s="577"/>
      <c r="E1049" s="577"/>
      <c r="F1049" s="577"/>
      <c r="G1049" s="577"/>
      <c r="H1049" s="577"/>
      <c r="I1049" s="577"/>
      <c r="J1049" s="513"/>
    </row>
    <row r="1050" customHeight="1" spans="4:10">
      <c r="D1050" s="577"/>
      <c r="E1050" s="577"/>
      <c r="F1050" s="577"/>
      <c r="G1050" s="577"/>
      <c r="H1050" s="577"/>
      <c r="I1050" s="577"/>
      <c r="J1050" s="513"/>
    </row>
    <row r="1051" customHeight="1" spans="4:10">
      <c r="D1051" s="577"/>
      <c r="E1051" s="577"/>
      <c r="F1051" s="577"/>
      <c r="G1051" s="577"/>
      <c r="H1051" s="577"/>
      <c r="I1051" s="577"/>
      <c r="J1051" s="513"/>
    </row>
    <row r="1052" customHeight="1" spans="4:10">
      <c r="D1052" s="577"/>
      <c r="E1052" s="577"/>
      <c r="F1052" s="577"/>
      <c r="G1052" s="577"/>
      <c r="H1052" s="577"/>
      <c r="I1052" s="577"/>
      <c r="J1052" s="513"/>
    </row>
    <row r="1053" customHeight="1" spans="4:10">
      <c r="D1053" s="577"/>
      <c r="E1053" s="577"/>
      <c r="F1053" s="577"/>
      <c r="G1053" s="577"/>
      <c r="H1053" s="577"/>
      <c r="I1053" s="577"/>
      <c r="J1053" s="513"/>
    </row>
    <row r="1054" customHeight="1" spans="4:10">
      <c r="D1054" s="577"/>
      <c r="E1054" s="577"/>
      <c r="F1054" s="577"/>
      <c r="G1054" s="577"/>
      <c r="H1054" s="577"/>
      <c r="I1054" s="577"/>
      <c r="J1054" s="513"/>
    </row>
    <row r="1055" customHeight="1" spans="4:10">
      <c r="D1055" s="577"/>
      <c r="E1055" s="577"/>
      <c r="F1055" s="577"/>
      <c r="G1055" s="577"/>
      <c r="H1055" s="577"/>
      <c r="I1055" s="577"/>
      <c r="J1055" s="513"/>
    </row>
    <row r="1056" customHeight="1" spans="4:10">
      <c r="D1056" s="577"/>
      <c r="E1056" s="577"/>
      <c r="F1056" s="577"/>
      <c r="G1056" s="577"/>
      <c r="H1056" s="577"/>
      <c r="I1056" s="577"/>
      <c r="J1056" s="513"/>
    </row>
    <row r="1057" customHeight="1" spans="4:10">
      <c r="D1057" s="577"/>
      <c r="E1057" s="577"/>
      <c r="F1057" s="577"/>
      <c r="G1057" s="577"/>
      <c r="H1057" s="577"/>
      <c r="I1057" s="577"/>
      <c r="J1057" s="513"/>
    </row>
    <row r="1058" customHeight="1" spans="4:10">
      <c r="D1058" s="577"/>
      <c r="E1058" s="577"/>
      <c r="F1058" s="577"/>
      <c r="G1058" s="577"/>
      <c r="H1058" s="577"/>
      <c r="I1058" s="577"/>
      <c r="J1058" s="513"/>
    </row>
    <row r="1059" customHeight="1" spans="4:10">
      <c r="D1059" s="577"/>
      <c r="E1059" s="577"/>
      <c r="F1059" s="577"/>
      <c r="G1059" s="577"/>
      <c r="H1059" s="577"/>
      <c r="I1059" s="577"/>
      <c r="J1059" s="513"/>
    </row>
    <row r="1060" customHeight="1" spans="4:10">
      <c r="D1060" s="577"/>
      <c r="E1060" s="577"/>
      <c r="F1060" s="577"/>
      <c r="G1060" s="577"/>
      <c r="H1060" s="577"/>
      <c r="I1060" s="577"/>
      <c r="J1060" s="513"/>
    </row>
    <row r="1061" customHeight="1" spans="4:10">
      <c r="D1061" s="577"/>
      <c r="E1061" s="577"/>
      <c r="F1061" s="577"/>
      <c r="G1061" s="577"/>
      <c r="H1061" s="577"/>
      <c r="I1061" s="577"/>
      <c r="J1061" s="513"/>
    </row>
    <row r="1062" customHeight="1" spans="4:10">
      <c r="D1062" s="577"/>
      <c r="E1062" s="577"/>
      <c r="F1062" s="577"/>
      <c r="G1062" s="577"/>
      <c r="H1062" s="577"/>
      <c r="I1062" s="577"/>
      <c r="J1062" s="513"/>
    </row>
    <row r="1063" customHeight="1" spans="4:10">
      <c r="D1063" s="577"/>
      <c r="E1063" s="577"/>
      <c r="F1063" s="577"/>
      <c r="G1063" s="577"/>
      <c r="H1063" s="577"/>
      <c r="I1063" s="577"/>
      <c r="J1063" s="513"/>
    </row>
    <row r="1064" customHeight="1" spans="4:10">
      <c r="D1064" s="577"/>
      <c r="E1064" s="577"/>
      <c r="F1064" s="577"/>
      <c r="G1064" s="577"/>
      <c r="H1064" s="577"/>
      <c r="I1064" s="577"/>
      <c r="J1064" s="513"/>
    </row>
    <row r="1065" customHeight="1" spans="4:10">
      <c r="D1065" s="577"/>
      <c r="E1065" s="577"/>
      <c r="F1065" s="577"/>
      <c r="G1065" s="577"/>
      <c r="H1065" s="577"/>
      <c r="I1065" s="577"/>
      <c r="J1065" s="513"/>
    </row>
    <row r="1066" customHeight="1" spans="4:10">
      <c r="D1066" s="577"/>
      <c r="E1066" s="577"/>
      <c r="F1066" s="577"/>
      <c r="G1066" s="577"/>
      <c r="H1066" s="577"/>
      <c r="I1066" s="577"/>
      <c r="J1066" s="513"/>
    </row>
    <row r="1067" customHeight="1" spans="4:10">
      <c r="D1067" s="577"/>
      <c r="E1067" s="577"/>
      <c r="F1067" s="577"/>
      <c r="G1067" s="577"/>
      <c r="H1067" s="577"/>
      <c r="I1067" s="577"/>
      <c r="J1067" s="513"/>
    </row>
    <row r="1068" customHeight="1" spans="4:10">
      <c r="D1068" s="577"/>
      <c r="E1068" s="577"/>
      <c r="F1068" s="577"/>
      <c r="G1068" s="577"/>
      <c r="H1068" s="577"/>
      <c r="I1068" s="577"/>
      <c r="J1068" s="513"/>
    </row>
    <row r="1069" customHeight="1" spans="4:10">
      <c r="D1069" s="577"/>
      <c r="E1069" s="577"/>
      <c r="F1069" s="577"/>
      <c r="G1069" s="577"/>
      <c r="H1069" s="577"/>
      <c r="I1069" s="577"/>
      <c r="J1069" s="513"/>
    </row>
    <row r="1070" customHeight="1" spans="4:10">
      <c r="D1070" s="577"/>
      <c r="E1070" s="577"/>
      <c r="F1070" s="577"/>
      <c r="G1070" s="577"/>
      <c r="H1070" s="577"/>
      <c r="I1070" s="577"/>
      <c r="J1070" s="513"/>
    </row>
    <row r="1071" customHeight="1" spans="4:10">
      <c r="D1071" s="577"/>
      <c r="E1071" s="577"/>
      <c r="F1071" s="577"/>
      <c r="G1071" s="577"/>
      <c r="H1071" s="577"/>
      <c r="I1071" s="577"/>
      <c r="J1071" s="513"/>
    </row>
    <row r="1072" customHeight="1" spans="4:10">
      <c r="D1072" s="577"/>
      <c r="E1072" s="577"/>
      <c r="F1072" s="577"/>
      <c r="G1072" s="577"/>
      <c r="H1072" s="577"/>
      <c r="I1072" s="577"/>
      <c r="J1072" s="513"/>
    </row>
    <row r="1073" customHeight="1" spans="4:10">
      <c r="D1073" s="577"/>
      <c r="E1073" s="577"/>
      <c r="F1073" s="577"/>
      <c r="G1073" s="577"/>
      <c r="H1073" s="577"/>
      <c r="I1073" s="577"/>
      <c r="J1073" s="513"/>
    </row>
    <row r="1074" customHeight="1" spans="4:10">
      <c r="D1074" s="577"/>
      <c r="E1074" s="577"/>
      <c r="F1074" s="577"/>
      <c r="G1074" s="577"/>
      <c r="H1074" s="577"/>
      <c r="I1074" s="577"/>
      <c r="J1074" s="513"/>
    </row>
    <row r="1075" customHeight="1" spans="4:10">
      <c r="D1075" s="577"/>
      <c r="E1075" s="577"/>
      <c r="F1075" s="577"/>
      <c r="G1075" s="577"/>
      <c r="H1075" s="577"/>
      <c r="I1075" s="577"/>
      <c r="J1075" s="513"/>
    </row>
    <row r="1076" customHeight="1" spans="4:10">
      <c r="D1076" s="577"/>
      <c r="E1076" s="577"/>
      <c r="F1076" s="577"/>
      <c r="G1076" s="577"/>
      <c r="H1076" s="577"/>
      <c r="I1076" s="577"/>
      <c r="J1076" s="513"/>
    </row>
    <row r="1077" customHeight="1" spans="4:10">
      <c r="D1077" s="577"/>
      <c r="E1077" s="577"/>
      <c r="F1077" s="577"/>
      <c r="G1077" s="577"/>
      <c r="H1077" s="577"/>
      <c r="I1077" s="577"/>
      <c r="J1077" s="513"/>
    </row>
    <row r="1078" customHeight="1" spans="4:10">
      <c r="D1078" s="577"/>
      <c r="E1078" s="577"/>
      <c r="F1078" s="577"/>
      <c r="G1078" s="577"/>
      <c r="H1078" s="577"/>
      <c r="I1078" s="577"/>
      <c r="J1078" s="513"/>
    </row>
    <row r="1079" customHeight="1" spans="4:10">
      <c r="D1079" s="577"/>
      <c r="E1079" s="577"/>
      <c r="F1079" s="577"/>
      <c r="G1079" s="577"/>
      <c r="H1079" s="577"/>
      <c r="I1079" s="577"/>
      <c r="J1079" s="513"/>
    </row>
    <row r="1080" customHeight="1" spans="4:10">
      <c r="D1080" s="577"/>
      <c r="E1080" s="577"/>
      <c r="F1080" s="577"/>
      <c r="G1080" s="577"/>
      <c r="H1080" s="577"/>
      <c r="I1080" s="577"/>
      <c r="J1080" s="513"/>
    </row>
    <row r="1081" customHeight="1" spans="4:10">
      <c r="D1081" s="577"/>
      <c r="E1081" s="577"/>
      <c r="F1081" s="577"/>
      <c r="G1081" s="577"/>
      <c r="H1081" s="577"/>
      <c r="I1081" s="577"/>
      <c r="J1081" s="513"/>
    </row>
    <row r="1082" customHeight="1" spans="4:10">
      <c r="D1082" s="577"/>
      <c r="E1082" s="577"/>
      <c r="F1082" s="577"/>
      <c r="G1082" s="577"/>
      <c r="H1082" s="577"/>
      <c r="I1082" s="577"/>
      <c r="J1082" s="513"/>
    </row>
    <row r="1083" customHeight="1" spans="4:10">
      <c r="D1083" s="577"/>
      <c r="E1083" s="577"/>
      <c r="F1083" s="577"/>
      <c r="G1083" s="577"/>
      <c r="H1083" s="577"/>
      <c r="I1083" s="577"/>
      <c r="J1083" s="513"/>
    </row>
    <row r="1084" customHeight="1" spans="4:10">
      <c r="D1084" s="577"/>
      <c r="E1084" s="577"/>
      <c r="F1084" s="577"/>
      <c r="G1084" s="577"/>
      <c r="H1084" s="577"/>
      <c r="I1084" s="577"/>
      <c r="J1084" s="513"/>
    </row>
    <row r="1085" customHeight="1" spans="4:10">
      <c r="D1085" s="577"/>
      <c r="E1085" s="577"/>
      <c r="F1085" s="577"/>
      <c r="G1085" s="577"/>
      <c r="H1085" s="577"/>
      <c r="I1085" s="577"/>
      <c r="J1085" s="513"/>
    </row>
    <row r="1086" customHeight="1" spans="4:10">
      <c r="D1086" s="577"/>
      <c r="E1086" s="577"/>
      <c r="F1086" s="577"/>
      <c r="G1086" s="577"/>
      <c r="H1086" s="577"/>
      <c r="I1086" s="577"/>
      <c r="J1086" s="513"/>
    </row>
    <row r="1087" customHeight="1" spans="4:10">
      <c r="D1087" s="577"/>
      <c r="E1087" s="577"/>
      <c r="F1087" s="577"/>
      <c r="G1087" s="577"/>
      <c r="H1087" s="577"/>
      <c r="I1087" s="577"/>
      <c r="J1087" s="513"/>
    </row>
    <row r="1088" customHeight="1" spans="4:10">
      <c r="D1088" s="577"/>
      <c r="E1088" s="577"/>
      <c r="F1088" s="577"/>
      <c r="G1088" s="577"/>
      <c r="H1088" s="577"/>
      <c r="I1088" s="577"/>
      <c r="J1088" s="513"/>
    </row>
    <row r="1089" customHeight="1" spans="4:10">
      <c r="D1089" s="577"/>
      <c r="E1089" s="577"/>
      <c r="F1089" s="577"/>
      <c r="G1089" s="577"/>
      <c r="H1089" s="577"/>
      <c r="I1089" s="577"/>
      <c r="J1089" s="513"/>
    </row>
    <row r="1090" customHeight="1" spans="4:10">
      <c r="D1090" s="577"/>
      <c r="E1090" s="577"/>
      <c r="F1090" s="577"/>
      <c r="G1090" s="577"/>
      <c r="H1090" s="577"/>
      <c r="I1090" s="577"/>
      <c r="J1090" s="513"/>
    </row>
    <row r="1091" customHeight="1" spans="4:10">
      <c r="D1091" s="577"/>
      <c r="E1091" s="577"/>
      <c r="F1091" s="577"/>
      <c r="G1091" s="577"/>
      <c r="H1091" s="577"/>
      <c r="I1091" s="577"/>
      <c r="J1091" s="513"/>
    </row>
    <row r="1092" customHeight="1" spans="4:10">
      <c r="D1092" s="577"/>
      <c r="E1092" s="577"/>
      <c r="F1092" s="577"/>
      <c r="G1092" s="577"/>
      <c r="H1092" s="577"/>
      <c r="I1092" s="577"/>
      <c r="J1092" s="513"/>
    </row>
    <row r="1093" customHeight="1" spans="4:10">
      <c r="D1093" s="577"/>
      <c r="E1093" s="577"/>
      <c r="F1093" s="577"/>
      <c r="G1093" s="577"/>
      <c r="H1093" s="577"/>
      <c r="I1093" s="577"/>
      <c r="J1093" s="513"/>
    </row>
    <row r="1094" customHeight="1" spans="4:10">
      <c r="D1094" s="577"/>
      <c r="E1094" s="577"/>
      <c r="F1094" s="577"/>
      <c r="G1094" s="577"/>
      <c r="H1094" s="577"/>
      <c r="I1094" s="577"/>
      <c r="J1094" s="513"/>
    </row>
    <row r="1095" customHeight="1" spans="4:10">
      <c r="D1095" s="577"/>
      <c r="E1095" s="577"/>
      <c r="F1095" s="577"/>
      <c r="G1095" s="577"/>
      <c r="H1095" s="577"/>
      <c r="I1095" s="577"/>
      <c r="J1095" s="513"/>
    </row>
    <row r="1096" customHeight="1" spans="4:10">
      <c r="D1096" s="577"/>
      <c r="E1096" s="577"/>
      <c r="F1096" s="577"/>
      <c r="G1096" s="577"/>
      <c r="H1096" s="577"/>
      <c r="I1096" s="577"/>
      <c r="J1096" s="513"/>
    </row>
    <row r="1097" customHeight="1" spans="4:10">
      <c r="D1097" s="577"/>
      <c r="E1097" s="577"/>
      <c r="F1097" s="577"/>
      <c r="G1097" s="577"/>
      <c r="H1097" s="577"/>
      <c r="I1097" s="577"/>
      <c r="J1097" s="513"/>
    </row>
    <row r="1098" customHeight="1" spans="4:10">
      <c r="D1098" s="577"/>
      <c r="E1098" s="577"/>
      <c r="F1098" s="577"/>
      <c r="G1098" s="577"/>
      <c r="H1098" s="577"/>
      <c r="I1098" s="577"/>
      <c r="J1098" s="513"/>
    </row>
    <row r="1099" customHeight="1" spans="4:10">
      <c r="D1099" s="577"/>
      <c r="E1099" s="577"/>
      <c r="F1099" s="577"/>
      <c r="G1099" s="577"/>
      <c r="H1099" s="577"/>
      <c r="I1099" s="577"/>
      <c r="J1099" s="513"/>
    </row>
    <row r="1100" customHeight="1" spans="4:10">
      <c r="D1100" s="577"/>
      <c r="E1100" s="577"/>
      <c r="F1100" s="577"/>
      <c r="G1100" s="577"/>
      <c r="H1100" s="577"/>
      <c r="I1100" s="577"/>
      <c r="J1100" s="513"/>
    </row>
    <row r="1101" customHeight="1" spans="4:10">
      <c r="D1101" s="577"/>
      <c r="E1101" s="577"/>
      <c r="F1101" s="577"/>
      <c r="G1101" s="577"/>
      <c r="H1101" s="577"/>
      <c r="I1101" s="577"/>
      <c r="J1101" s="513"/>
    </row>
    <row r="1102" customHeight="1" spans="4:10">
      <c r="D1102" s="577"/>
      <c r="E1102" s="577"/>
      <c r="F1102" s="577"/>
      <c r="G1102" s="577"/>
      <c r="H1102" s="577"/>
      <c r="I1102" s="577"/>
      <c r="J1102" s="513"/>
    </row>
    <row r="1103" customHeight="1" spans="4:10">
      <c r="D1103" s="577"/>
      <c r="E1103" s="577"/>
      <c r="F1103" s="577"/>
      <c r="G1103" s="577"/>
      <c r="H1103" s="577"/>
      <c r="I1103" s="577"/>
      <c r="J1103" s="513"/>
    </row>
    <row r="1104" customHeight="1" spans="4:10">
      <c r="D1104" s="577"/>
      <c r="E1104" s="577"/>
      <c r="F1104" s="577"/>
      <c r="G1104" s="577"/>
      <c r="H1104" s="577"/>
      <c r="I1104" s="577"/>
      <c r="J1104" s="513"/>
    </row>
    <row r="1105" customHeight="1" spans="4:10">
      <c r="D1105" s="577"/>
      <c r="E1105" s="577"/>
      <c r="F1105" s="577"/>
      <c r="G1105" s="577"/>
      <c r="H1105" s="577"/>
      <c r="I1105" s="577"/>
      <c r="J1105" s="513"/>
    </row>
    <row r="1106" customHeight="1" spans="4:10">
      <c r="D1106" s="577"/>
      <c r="E1106" s="577"/>
      <c r="F1106" s="577"/>
      <c r="G1106" s="577"/>
      <c r="H1106" s="577"/>
      <c r="I1106" s="577"/>
      <c r="J1106" s="513"/>
    </row>
    <row r="1107" customHeight="1" spans="4:10">
      <c r="D1107" s="577"/>
      <c r="E1107" s="577"/>
      <c r="F1107" s="577"/>
      <c r="G1107" s="577"/>
      <c r="H1107" s="577"/>
      <c r="I1107" s="577"/>
      <c r="J1107" s="513"/>
    </row>
    <row r="1108" customHeight="1" spans="4:10">
      <c r="D1108" s="577"/>
      <c r="E1108" s="577"/>
      <c r="F1108" s="577"/>
      <c r="G1108" s="577"/>
      <c r="H1108" s="577"/>
      <c r="I1108" s="577"/>
      <c r="J1108" s="513"/>
    </row>
    <row r="1109" customHeight="1" spans="4:10">
      <c r="D1109" s="577"/>
      <c r="E1109" s="577"/>
      <c r="F1109" s="577"/>
      <c r="G1109" s="577"/>
      <c r="H1109" s="577"/>
      <c r="I1109" s="577"/>
      <c r="J1109" s="513"/>
    </row>
    <row r="1110" customHeight="1" spans="4:10">
      <c r="D1110" s="577"/>
      <c r="E1110" s="577"/>
      <c r="F1110" s="577"/>
      <c r="G1110" s="577"/>
      <c r="H1110" s="577"/>
      <c r="I1110" s="577"/>
      <c r="J1110" s="513"/>
    </row>
    <row r="1111" customHeight="1" spans="4:10">
      <c r="D1111" s="577"/>
      <c r="E1111" s="577"/>
      <c r="F1111" s="577"/>
      <c r="G1111" s="577"/>
      <c r="H1111" s="577"/>
      <c r="I1111" s="577"/>
      <c r="J1111" s="513"/>
    </row>
    <row r="1112" customHeight="1" spans="4:10">
      <c r="D1112" s="577"/>
      <c r="E1112" s="577"/>
      <c r="F1112" s="577"/>
      <c r="G1112" s="577"/>
      <c r="H1112" s="577"/>
      <c r="I1112" s="577"/>
      <c r="J1112" s="513"/>
    </row>
    <row r="1113" customHeight="1" spans="4:10">
      <c r="D1113" s="577"/>
      <c r="E1113" s="577"/>
      <c r="F1113" s="577"/>
      <c r="G1113" s="577"/>
      <c r="H1113" s="577"/>
      <c r="I1113" s="577"/>
      <c r="J1113" s="513"/>
    </row>
    <row r="1114" customHeight="1" spans="4:10">
      <c r="D1114" s="577"/>
      <c r="E1114" s="577"/>
      <c r="F1114" s="577"/>
      <c r="G1114" s="577"/>
      <c r="H1114" s="577"/>
      <c r="I1114" s="577"/>
      <c r="J1114" s="513"/>
    </row>
    <row r="1115" customHeight="1" spans="4:10">
      <c r="D1115" s="577"/>
      <c r="E1115" s="577"/>
      <c r="F1115" s="577"/>
      <c r="G1115" s="577"/>
      <c r="H1115" s="577"/>
      <c r="I1115" s="577"/>
      <c r="J1115" s="513"/>
    </row>
    <row r="1116" customHeight="1" spans="4:10">
      <c r="D1116" s="577"/>
      <c r="E1116" s="577"/>
      <c r="F1116" s="577"/>
      <c r="G1116" s="577"/>
      <c r="H1116" s="577"/>
      <c r="I1116" s="577"/>
      <c r="J1116" s="513"/>
    </row>
    <row r="1117" customHeight="1" spans="4:10">
      <c r="D1117" s="577"/>
      <c r="E1117" s="577"/>
      <c r="F1117" s="577"/>
      <c r="G1117" s="577"/>
      <c r="H1117" s="577"/>
      <c r="I1117" s="577"/>
      <c r="J1117" s="513"/>
    </row>
    <row r="1118" customHeight="1" spans="4:10">
      <c r="D1118" s="577"/>
      <c r="E1118" s="577"/>
      <c r="F1118" s="577"/>
      <c r="G1118" s="577"/>
      <c r="H1118" s="577"/>
      <c r="I1118" s="577"/>
      <c r="J1118" s="513"/>
    </row>
    <row r="1119" customHeight="1" spans="4:10">
      <c r="D1119" s="577"/>
      <c r="E1119" s="577"/>
      <c r="F1119" s="577"/>
      <c r="G1119" s="577"/>
      <c r="H1119" s="577"/>
      <c r="I1119" s="577"/>
      <c r="J1119" s="513"/>
    </row>
    <row r="1120" customHeight="1" spans="4:10">
      <c r="D1120" s="577"/>
      <c r="E1120" s="577"/>
      <c r="F1120" s="577"/>
      <c r="G1120" s="577"/>
      <c r="H1120" s="577"/>
      <c r="I1120" s="577"/>
      <c r="J1120" s="513"/>
    </row>
    <row r="1121" customHeight="1" spans="4:10">
      <c r="D1121" s="577"/>
      <c r="E1121" s="577"/>
      <c r="F1121" s="577"/>
      <c r="G1121" s="577"/>
      <c r="H1121" s="577"/>
      <c r="I1121" s="577"/>
      <c r="J1121" s="513"/>
    </row>
    <row r="1122" customHeight="1" spans="4:10">
      <c r="D1122" s="577"/>
      <c r="E1122" s="577"/>
      <c r="F1122" s="577"/>
      <c r="G1122" s="577"/>
      <c r="H1122" s="577"/>
      <c r="I1122" s="577"/>
      <c r="J1122" s="513"/>
    </row>
    <row r="1123" customHeight="1" spans="4:10">
      <c r="D1123" s="577"/>
      <c r="E1123" s="577"/>
      <c r="F1123" s="577"/>
      <c r="G1123" s="577"/>
      <c r="H1123" s="577"/>
      <c r="I1123" s="577"/>
      <c r="J1123" s="513"/>
    </row>
    <row r="1124" customHeight="1" spans="4:10">
      <c r="D1124" s="577"/>
      <c r="E1124" s="577"/>
      <c r="F1124" s="577"/>
      <c r="G1124" s="577"/>
      <c r="H1124" s="577"/>
      <c r="I1124" s="577"/>
      <c r="J1124" s="513"/>
    </row>
    <row r="1125" customHeight="1" spans="4:10">
      <c r="D1125" s="577"/>
      <c r="E1125" s="577"/>
      <c r="F1125" s="577"/>
      <c r="G1125" s="577"/>
      <c r="H1125" s="577"/>
      <c r="I1125" s="577"/>
      <c r="J1125" s="513"/>
    </row>
    <row r="1126" customHeight="1" spans="4:10">
      <c r="D1126" s="577"/>
      <c r="E1126" s="577"/>
      <c r="F1126" s="577"/>
      <c r="G1126" s="577"/>
      <c r="H1126" s="577"/>
      <c r="I1126" s="577"/>
      <c r="J1126" s="513"/>
    </row>
    <row r="1127" customHeight="1" spans="4:10">
      <c r="D1127" s="577"/>
      <c r="E1127" s="577"/>
      <c r="F1127" s="577"/>
      <c r="G1127" s="577"/>
      <c r="H1127" s="577"/>
      <c r="I1127" s="577"/>
      <c r="J1127" s="513"/>
    </row>
    <row r="1128" customHeight="1" spans="4:10">
      <c r="D1128" s="577"/>
      <c r="E1128" s="577"/>
      <c r="F1128" s="577"/>
      <c r="G1128" s="577"/>
      <c r="H1128" s="577"/>
      <c r="I1128" s="577"/>
      <c r="J1128" s="513"/>
    </row>
    <row r="1129" customHeight="1" spans="4:10">
      <c r="D1129" s="577"/>
      <c r="E1129" s="577"/>
      <c r="F1129" s="577"/>
      <c r="G1129" s="577"/>
      <c r="H1129" s="577"/>
      <c r="I1129" s="577"/>
      <c r="J1129" s="513"/>
    </row>
    <row r="1130" customHeight="1" spans="4:10">
      <c r="D1130" s="577"/>
      <c r="E1130" s="577"/>
      <c r="F1130" s="577"/>
      <c r="G1130" s="577"/>
      <c r="H1130" s="577"/>
      <c r="I1130" s="577"/>
      <c r="J1130" s="513"/>
    </row>
    <row r="1131" customHeight="1" spans="4:10">
      <c r="D1131" s="577"/>
      <c r="E1131" s="577"/>
      <c r="F1131" s="577"/>
      <c r="G1131" s="577"/>
      <c r="H1131" s="577"/>
      <c r="I1131" s="577"/>
      <c r="J1131" s="513"/>
    </row>
    <row r="1132" customHeight="1" spans="4:10">
      <c r="D1132" s="577"/>
      <c r="E1132" s="577"/>
      <c r="F1132" s="577"/>
      <c r="G1132" s="577"/>
      <c r="H1132" s="577"/>
      <c r="I1132" s="577"/>
      <c r="J1132" s="513"/>
    </row>
    <row r="1133" customHeight="1" spans="4:10">
      <c r="D1133" s="577"/>
      <c r="E1133" s="577"/>
      <c r="F1133" s="577"/>
      <c r="G1133" s="577"/>
      <c r="H1133" s="577"/>
      <c r="I1133" s="577"/>
      <c r="J1133" s="513"/>
    </row>
    <row r="1134" customHeight="1" spans="4:10">
      <c r="D1134" s="577"/>
      <c r="E1134" s="577"/>
      <c r="F1134" s="577"/>
      <c r="G1134" s="577"/>
      <c r="H1134" s="577"/>
      <c r="I1134" s="577"/>
      <c r="J1134" s="513"/>
    </row>
    <row r="1135" customHeight="1" spans="4:10">
      <c r="D1135" s="577"/>
      <c r="E1135" s="577"/>
      <c r="F1135" s="577"/>
      <c r="G1135" s="577"/>
      <c r="H1135" s="577"/>
      <c r="I1135" s="577"/>
      <c r="J1135" s="513"/>
    </row>
    <row r="1136" customHeight="1" spans="4:10">
      <c r="D1136" s="577"/>
      <c r="E1136" s="577"/>
      <c r="F1136" s="577"/>
      <c r="G1136" s="577"/>
      <c r="H1136" s="577"/>
      <c r="I1136" s="577"/>
      <c r="J1136" s="513"/>
    </row>
    <row r="1137" customHeight="1" spans="4:10">
      <c r="D1137" s="577"/>
      <c r="E1137" s="577"/>
      <c r="F1137" s="577"/>
      <c r="G1137" s="577"/>
      <c r="H1137" s="577"/>
      <c r="I1137" s="577"/>
      <c r="J1137" s="513"/>
    </row>
    <row r="1138" customHeight="1" spans="4:10">
      <c r="D1138" s="577"/>
      <c r="E1138" s="577"/>
      <c r="F1138" s="577"/>
      <c r="G1138" s="577"/>
      <c r="H1138" s="577"/>
      <c r="I1138" s="577"/>
      <c r="J1138" s="513"/>
    </row>
    <row r="1139" customHeight="1" spans="4:10">
      <c r="D1139" s="577"/>
      <c r="E1139" s="577"/>
      <c r="F1139" s="577"/>
      <c r="G1139" s="577"/>
      <c r="H1139" s="577"/>
      <c r="I1139" s="577"/>
      <c r="J1139" s="513"/>
    </row>
    <row r="1140" customHeight="1" spans="4:10">
      <c r="D1140" s="577"/>
      <c r="E1140" s="577"/>
      <c r="F1140" s="577"/>
      <c r="G1140" s="577"/>
      <c r="H1140" s="577"/>
      <c r="I1140" s="577"/>
      <c r="J1140" s="513"/>
    </row>
    <row r="1141" customHeight="1" spans="4:10">
      <c r="D1141" s="577"/>
      <c r="E1141" s="577"/>
      <c r="F1141" s="577"/>
      <c r="G1141" s="577"/>
      <c r="H1141" s="577"/>
      <c r="I1141" s="577"/>
      <c r="J1141" s="513"/>
    </row>
    <row r="1142" customHeight="1" spans="4:10">
      <c r="D1142" s="577"/>
      <c r="E1142" s="577"/>
      <c r="F1142" s="577"/>
      <c r="G1142" s="577"/>
      <c r="H1142" s="577"/>
      <c r="I1142" s="577"/>
      <c r="J1142" s="513"/>
    </row>
    <row r="1143" customHeight="1" spans="4:10">
      <c r="D1143" s="577"/>
      <c r="E1143" s="577"/>
      <c r="F1143" s="577"/>
      <c r="G1143" s="577"/>
      <c r="H1143" s="577"/>
      <c r="I1143" s="577"/>
      <c r="J1143" s="513"/>
    </row>
    <row r="1144" customHeight="1" spans="4:10">
      <c r="D1144" s="577"/>
      <c r="E1144" s="577"/>
      <c r="F1144" s="577"/>
      <c r="G1144" s="577"/>
      <c r="H1144" s="577"/>
      <c r="I1144" s="577"/>
      <c r="J1144" s="513"/>
    </row>
    <row r="1145" customHeight="1" spans="4:10">
      <c r="D1145" s="577"/>
      <c r="E1145" s="577"/>
      <c r="F1145" s="577"/>
      <c r="G1145" s="577"/>
      <c r="H1145" s="577"/>
      <c r="I1145" s="577"/>
      <c r="J1145" s="513"/>
    </row>
    <row r="1146" customHeight="1" spans="4:10">
      <c r="D1146" s="577"/>
      <c r="E1146" s="577"/>
      <c r="F1146" s="577"/>
      <c r="G1146" s="577"/>
      <c r="H1146" s="577"/>
      <c r="I1146" s="577"/>
      <c r="J1146" s="513"/>
    </row>
    <row r="1147" customHeight="1" spans="4:10">
      <c r="D1147" s="577"/>
      <c r="E1147" s="577"/>
      <c r="F1147" s="577"/>
      <c r="G1147" s="577"/>
      <c r="H1147" s="577"/>
      <c r="I1147" s="577"/>
      <c r="J1147" s="513"/>
    </row>
    <row r="1148" customHeight="1" spans="4:10">
      <c r="D1148" s="577"/>
      <c r="E1148" s="577"/>
      <c r="F1148" s="577"/>
      <c r="G1148" s="577"/>
      <c r="H1148" s="577"/>
      <c r="I1148" s="577"/>
      <c r="J1148" s="513"/>
    </row>
    <row r="1149" customHeight="1" spans="4:10">
      <c r="D1149" s="577"/>
      <c r="E1149" s="577"/>
      <c r="F1149" s="577"/>
      <c r="G1149" s="577"/>
      <c r="H1149" s="577"/>
      <c r="I1149" s="577"/>
      <c r="J1149" s="513"/>
    </row>
    <row r="1150" customHeight="1" spans="4:10">
      <c r="D1150" s="577"/>
      <c r="E1150" s="577"/>
      <c r="F1150" s="577"/>
      <c r="G1150" s="577"/>
      <c r="H1150" s="577"/>
      <c r="I1150" s="577"/>
      <c r="J1150" s="513"/>
    </row>
    <row r="1151" customHeight="1" spans="4:10">
      <c r="D1151" s="577"/>
      <c r="E1151" s="577"/>
      <c r="F1151" s="577"/>
      <c r="G1151" s="577"/>
      <c r="H1151" s="577"/>
      <c r="I1151" s="577"/>
      <c r="J1151" s="513"/>
    </row>
    <row r="1152" customHeight="1" spans="4:10">
      <c r="D1152" s="577"/>
      <c r="E1152" s="577"/>
      <c r="F1152" s="577"/>
      <c r="G1152" s="577"/>
      <c r="H1152" s="577"/>
      <c r="I1152" s="577"/>
      <c r="J1152" s="513"/>
    </row>
    <row r="1153" customHeight="1" spans="4:10">
      <c r="D1153" s="577"/>
      <c r="E1153" s="577"/>
      <c r="F1153" s="577"/>
      <c r="G1153" s="577"/>
      <c r="H1153" s="577"/>
      <c r="I1153" s="577"/>
      <c r="J1153" s="513"/>
    </row>
    <row r="1154" customHeight="1" spans="4:10">
      <c r="D1154" s="577"/>
      <c r="E1154" s="577"/>
      <c r="F1154" s="577"/>
      <c r="G1154" s="577"/>
      <c r="H1154" s="577"/>
      <c r="I1154" s="577"/>
      <c r="J1154" s="513"/>
    </row>
    <row r="1155" customHeight="1" spans="4:10">
      <c r="D1155" s="577"/>
      <c r="E1155" s="577"/>
      <c r="F1155" s="577"/>
      <c r="G1155" s="577"/>
      <c r="H1155" s="577"/>
      <c r="I1155" s="577"/>
      <c r="J1155" s="513"/>
    </row>
    <row r="1156" customHeight="1" spans="4:10">
      <c r="D1156" s="577"/>
      <c r="E1156" s="577"/>
      <c r="F1156" s="577"/>
      <c r="G1156" s="577"/>
      <c r="H1156" s="577"/>
      <c r="I1156" s="577"/>
      <c r="J1156" s="513"/>
    </row>
    <row r="1157" customHeight="1" spans="4:10">
      <c r="D1157" s="577"/>
      <c r="E1157" s="577"/>
      <c r="F1157" s="577"/>
      <c r="G1157" s="577"/>
      <c r="H1157" s="577"/>
      <c r="I1157" s="577"/>
      <c r="J1157" s="513"/>
    </row>
    <row r="1158" customHeight="1" spans="4:10">
      <c r="D1158" s="577"/>
      <c r="E1158" s="577"/>
      <c r="F1158" s="577"/>
      <c r="G1158" s="577"/>
      <c r="H1158" s="577"/>
      <c r="I1158" s="577"/>
      <c r="J1158" s="513"/>
    </row>
    <row r="1159" customHeight="1" spans="4:10">
      <c r="D1159" s="577"/>
      <c r="E1159" s="577"/>
      <c r="F1159" s="577"/>
      <c r="G1159" s="577"/>
      <c r="H1159" s="577"/>
      <c r="I1159" s="577"/>
      <c r="J1159" s="513"/>
    </row>
    <row r="1160" customHeight="1" spans="4:10">
      <c r="D1160" s="577"/>
      <c r="E1160" s="577"/>
      <c r="F1160" s="577"/>
      <c r="G1160" s="577"/>
      <c r="H1160" s="577"/>
      <c r="I1160" s="577"/>
      <c r="J1160" s="513"/>
    </row>
    <row r="1161" customHeight="1" spans="4:10">
      <c r="D1161" s="577"/>
      <c r="E1161" s="577"/>
      <c r="F1161" s="577"/>
      <c r="G1161" s="577"/>
      <c r="H1161" s="577"/>
      <c r="I1161" s="577"/>
      <c r="J1161" s="513"/>
    </row>
    <row r="1162" customHeight="1" spans="4:10">
      <c r="D1162" s="577"/>
      <c r="E1162" s="577"/>
      <c r="F1162" s="577"/>
      <c r="G1162" s="577"/>
      <c r="H1162" s="577"/>
      <c r="I1162" s="577"/>
      <c r="J1162" s="513"/>
    </row>
    <row r="1163" customHeight="1" spans="4:10">
      <c r="D1163" s="577"/>
      <c r="E1163" s="577"/>
      <c r="F1163" s="577"/>
      <c r="G1163" s="577"/>
      <c r="H1163" s="577"/>
      <c r="I1163" s="577"/>
      <c r="J1163" s="513"/>
    </row>
    <row r="1164" customHeight="1" spans="4:10">
      <c r="D1164" s="577"/>
      <c r="E1164" s="577"/>
      <c r="F1164" s="577"/>
      <c r="G1164" s="577"/>
      <c r="H1164" s="577"/>
      <c r="I1164" s="577"/>
      <c r="J1164" s="513"/>
    </row>
    <row r="1165" customHeight="1" spans="4:10">
      <c r="D1165" s="577"/>
      <c r="E1165" s="577"/>
      <c r="F1165" s="577"/>
      <c r="G1165" s="577"/>
      <c r="H1165" s="577"/>
      <c r="I1165" s="577"/>
      <c r="J1165" s="513"/>
    </row>
    <row r="1166" customHeight="1" spans="4:10">
      <c r="D1166" s="577"/>
      <c r="E1166" s="577"/>
      <c r="F1166" s="577"/>
      <c r="G1166" s="577"/>
      <c r="H1166" s="577"/>
      <c r="I1166" s="577"/>
      <c r="J1166" s="513"/>
    </row>
    <row r="1167" customHeight="1" spans="4:10">
      <c r="D1167" s="577"/>
      <c r="E1167" s="577"/>
      <c r="F1167" s="577"/>
      <c r="G1167" s="577"/>
      <c r="H1167" s="577"/>
      <c r="I1167" s="577"/>
      <c r="J1167" s="513"/>
    </row>
    <row r="1168" customHeight="1" spans="4:10">
      <c r="D1168" s="577"/>
      <c r="E1168" s="577"/>
      <c r="F1168" s="577"/>
      <c r="G1168" s="577"/>
      <c r="H1168" s="577"/>
      <c r="I1168" s="577"/>
      <c r="J1168" s="513"/>
    </row>
    <row r="1169" customHeight="1" spans="4:10">
      <c r="D1169" s="577"/>
      <c r="E1169" s="577"/>
      <c r="F1169" s="577"/>
      <c r="G1169" s="577"/>
      <c r="H1169" s="577"/>
      <c r="I1169" s="577"/>
      <c r="J1169" s="513"/>
    </row>
    <row r="1170" customHeight="1" spans="4:10">
      <c r="D1170" s="577"/>
      <c r="E1170" s="577"/>
      <c r="F1170" s="577"/>
      <c r="G1170" s="577"/>
      <c r="H1170" s="577"/>
      <c r="I1170" s="577"/>
      <c r="J1170" s="513"/>
    </row>
    <row r="1171" customHeight="1" spans="4:10">
      <c r="D1171" s="577"/>
      <c r="E1171" s="577"/>
      <c r="F1171" s="577"/>
      <c r="G1171" s="577"/>
      <c r="H1171" s="577"/>
      <c r="I1171" s="577"/>
      <c r="J1171" s="513"/>
    </row>
    <row r="1172" customHeight="1" spans="4:10">
      <c r="D1172" s="577"/>
      <c r="E1172" s="577"/>
      <c r="F1172" s="577"/>
      <c r="G1172" s="577"/>
      <c r="H1172" s="577"/>
      <c r="I1172" s="577"/>
      <c r="J1172" s="513"/>
    </row>
    <row r="1173" customHeight="1" spans="4:10">
      <c r="D1173" s="577"/>
      <c r="E1173" s="577"/>
      <c r="F1173" s="577"/>
      <c r="G1173" s="577"/>
      <c r="H1173" s="577"/>
      <c r="I1173" s="577"/>
      <c r="J1173" s="513"/>
    </row>
    <row r="1174" customHeight="1" spans="4:10">
      <c r="D1174" s="577"/>
      <c r="E1174" s="577"/>
      <c r="F1174" s="577"/>
      <c r="G1174" s="577"/>
      <c r="H1174" s="577"/>
      <c r="I1174" s="577"/>
      <c r="J1174" s="513"/>
    </row>
    <row r="1175" customHeight="1" spans="4:10">
      <c r="D1175" s="577"/>
      <c r="E1175" s="577"/>
      <c r="F1175" s="577"/>
      <c r="G1175" s="577"/>
      <c r="H1175" s="577"/>
      <c r="I1175" s="577"/>
      <c r="J1175" s="513"/>
    </row>
    <row r="1176" customHeight="1" spans="4:10">
      <c r="D1176" s="577"/>
      <c r="E1176" s="577"/>
      <c r="F1176" s="577"/>
      <c r="G1176" s="577"/>
      <c r="H1176" s="577"/>
      <c r="I1176" s="577"/>
      <c r="J1176" s="513"/>
    </row>
    <row r="1177" customHeight="1" spans="4:10">
      <c r="D1177" s="577"/>
      <c r="E1177" s="577"/>
      <c r="F1177" s="577"/>
      <c r="G1177" s="577"/>
      <c r="H1177" s="577"/>
      <c r="I1177" s="577"/>
      <c r="J1177" s="513"/>
    </row>
    <row r="1178" customHeight="1" spans="4:10">
      <c r="D1178" s="577"/>
      <c r="E1178" s="577"/>
      <c r="F1178" s="577"/>
      <c r="G1178" s="577"/>
      <c r="H1178" s="577"/>
      <c r="I1178" s="577"/>
      <c r="J1178" s="513"/>
    </row>
    <row r="1179" customHeight="1" spans="4:10">
      <c r="D1179" s="577"/>
      <c r="E1179" s="577"/>
      <c r="F1179" s="577"/>
      <c r="G1179" s="577"/>
      <c r="H1179" s="577"/>
      <c r="I1179" s="577"/>
      <c r="J1179" s="513"/>
    </row>
    <row r="1180" customHeight="1" spans="4:10">
      <c r="D1180" s="577"/>
      <c r="E1180" s="577"/>
      <c r="F1180" s="577"/>
      <c r="G1180" s="577"/>
      <c r="H1180" s="577"/>
      <c r="I1180" s="577"/>
      <c r="J1180" s="513"/>
    </row>
    <row r="1181" customHeight="1" spans="4:10">
      <c r="D1181" s="577"/>
      <c r="E1181" s="577"/>
      <c r="F1181" s="577"/>
      <c r="G1181" s="577"/>
      <c r="H1181" s="577"/>
      <c r="I1181" s="577"/>
      <c r="J1181" s="513"/>
    </row>
    <row r="1182" customHeight="1" spans="4:10">
      <c r="D1182" s="577"/>
      <c r="E1182" s="577"/>
      <c r="F1182" s="577"/>
      <c r="G1182" s="577"/>
      <c r="H1182" s="577"/>
      <c r="I1182" s="577"/>
      <c r="J1182" s="513"/>
    </row>
    <row r="1183" customHeight="1" spans="4:10">
      <c r="D1183" s="577"/>
      <c r="E1183" s="577"/>
      <c r="F1183" s="577"/>
      <c r="G1183" s="577"/>
      <c r="H1183" s="577"/>
      <c r="I1183" s="577"/>
      <c r="J1183" s="513"/>
    </row>
    <row r="1184" customHeight="1" spans="4:10">
      <c r="D1184" s="577"/>
      <c r="E1184" s="577"/>
      <c r="F1184" s="577"/>
      <c r="G1184" s="577"/>
      <c r="H1184" s="577"/>
      <c r="I1184" s="577"/>
      <c r="J1184" s="513"/>
    </row>
    <row r="1185" customHeight="1" spans="4:10">
      <c r="D1185" s="577"/>
      <c r="E1185" s="577"/>
      <c r="F1185" s="577"/>
      <c r="G1185" s="577"/>
      <c r="H1185" s="577"/>
      <c r="I1185" s="577"/>
      <c r="J1185" s="513"/>
    </row>
    <row r="1186" customHeight="1" spans="4:10">
      <c r="D1186" s="577"/>
      <c r="E1186" s="577"/>
      <c r="F1186" s="577"/>
      <c r="G1186" s="577"/>
      <c r="H1186" s="577"/>
      <c r="I1186" s="577"/>
      <c r="J1186" s="513"/>
    </row>
    <row r="1187" customHeight="1" spans="4:10">
      <c r="D1187" s="577"/>
      <c r="E1187" s="577"/>
      <c r="F1187" s="577"/>
      <c r="G1187" s="577"/>
      <c r="H1187" s="577"/>
      <c r="I1187" s="577"/>
      <c r="J1187" s="513"/>
    </row>
    <row r="1188" customHeight="1" spans="4:10">
      <c r="D1188" s="577"/>
      <c r="E1188" s="577"/>
      <c r="F1188" s="577"/>
      <c r="G1188" s="577"/>
      <c r="H1188" s="577"/>
      <c r="I1188" s="577"/>
      <c r="J1188" s="513"/>
    </row>
    <row r="1189" customHeight="1" spans="4:10">
      <c r="D1189" s="577"/>
      <c r="E1189" s="577"/>
      <c r="F1189" s="577"/>
      <c r="G1189" s="577"/>
      <c r="H1189" s="577"/>
      <c r="I1189" s="577"/>
      <c r="J1189" s="513"/>
    </row>
    <row r="1190" customHeight="1" spans="4:10">
      <c r="D1190" s="577"/>
      <c r="E1190" s="577"/>
      <c r="F1190" s="577"/>
      <c r="G1190" s="577"/>
      <c r="H1190" s="577"/>
      <c r="I1190" s="577"/>
      <c r="J1190" s="513"/>
    </row>
    <row r="1191" customHeight="1" spans="4:10">
      <c r="D1191" s="577"/>
      <c r="E1191" s="577"/>
      <c r="F1191" s="577"/>
      <c r="G1191" s="577"/>
      <c r="H1191" s="577"/>
      <c r="I1191" s="577"/>
      <c r="J1191" s="513"/>
    </row>
    <row r="1192" customHeight="1" spans="4:10">
      <c r="D1192" s="577"/>
      <c r="E1192" s="577"/>
      <c r="F1192" s="577"/>
      <c r="G1192" s="577"/>
      <c r="H1192" s="577"/>
      <c r="I1192" s="577"/>
      <c r="J1192" s="513"/>
    </row>
    <row r="1193" customHeight="1" spans="4:10">
      <c r="D1193" s="577"/>
      <c r="E1193" s="577"/>
      <c r="F1193" s="577"/>
      <c r="G1193" s="577"/>
      <c r="H1193" s="577"/>
      <c r="I1193" s="577"/>
      <c r="J1193" s="513"/>
    </row>
    <row r="1194" customHeight="1" spans="4:10">
      <c r="D1194" s="577"/>
      <c r="E1194" s="577"/>
      <c r="F1194" s="577"/>
      <c r="G1194" s="577"/>
      <c r="H1194" s="577"/>
      <c r="I1194" s="577"/>
      <c r="J1194" s="513"/>
    </row>
    <row r="1195" customHeight="1" spans="4:10">
      <c r="D1195" s="577"/>
      <c r="E1195" s="577"/>
      <c r="F1195" s="577"/>
      <c r="G1195" s="577"/>
      <c r="H1195" s="577"/>
      <c r="I1195" s="577"/>
      <c r="J1195" s="513"/>
    </row>
    <row r="1196" customHeight="1" spans="4:10">
      <c r="D1196" s="577"/>
      <c r="E1196" s="577"/>
      <c r="F1196" s="577"/>
      <c r="G1196" s="577"/>
      <c r="H1196" s="577"/>
      <c r="I1196" s="577"/>
      <c r="J1196" s="513"/>
    </row>
    <row r="1197" customHeight="1" spans="4:10">
      <c r="D1197" s="577"/>
      <c r="E1197" s="577"/>
      <c r="F1197" s="577"/>
      <c r="G1197" s="577"/>
      <c r="H1197" s="577"/>
      <c r="I1197" s="577"/>
      <c r="J1197" s="513"/>
    </row>
    <row r="1198" customHeight="1" spans="4:10">
      <c r="D1198" s="577"/>
      <c r="E1198" s="577"/>
      <c r="F1198" s="577"/>
      <c r="G1198" s="577"/>
      <c r="H1198" s="577"/>
      <c r="I1198" s="577"/>
      <c r="J1198" s="513"/>
    </row>
    <row r="1199" customHeight="1" spans="4:10">
      <c r="D1199" s="577"/>
      <c r="E1199" s="577"/>
      <c r="F1199" s="577"/>
      <c r="G1199" s="577"/>
      <c r="H1199" s="577"/>
      <c r="I1199" s="577"/>
      <c r="J1199" s="513"/>
    </row>
    <row r="1200" customHeight="1" spans="4:10">
      <c r="D1200" s="577"/>
      <c r="E1200" s="577"/>
      <c r="F1200" s="577"/>
      <c r="G1200" s="577"/>
      <c r="H1200" s="577"/>
      <c r="I1200" s="577"/>
      <c r="J1200" s="513"/>
    </row>
    <row r="1201" customHeight="1" spans="4:10">
      <c r="D1201" s="577"/>
      <c r="E1201" s="577"/>
      <c r="F1201" s="577"/>
      <c r="G1201" s="577"/>
      <c r="H1201" s="577"/>
      <c r="I1201" s="577"/>
      <c r="J1201" s="513"/>
    </row>
    <row r="1202" customHeight="1" spans="4:10">
      <c r="D1202" s="577"/>
      <c r="E1202" s="577"/>
      <c r="F1202" s="577"/>
      <c r="G1202" s="577"/>
      <c r="H1202" s="577"/>
      <c r="I1202" s="577"/>
      <c r="J1202" s="513"/>
    </row>
    <row r="1203" customHeight="1" spans="4:10">
      <c r="D1203" s="577"/>
      <c r="E1203" s="577"/>
      <c r="F1203" s="577"/>
      <c r="G1203" s="577"/>
      <c r="H1203" s="577"/>
      <c r="I1203" s="577"/>
      <c r="J1203" s="513"/>
    </row>
    <row r="1204" customHeight="1" spans="4:10">
      <c r="D1204" s="577"/>
      <c r="E1204" s="577"/>
      <c r="F1204" s="577"/>
      <c r="G1204" s="577"/>
      <c r="H1204" s="577"/>
      <c r="I1204" s="577"/>
      <c r="J1204" s="513"/>
    </row>
    <row r="1205" customHeight="1" spans="4:10">
      <c r="D1205" s="577"/>
      <c r="E1205" s="577"/>
      <c r="F1205" s="577"/>
      <c r="G1205" s="577"/>
      <c r="H1205" s="577"/>
      <c r="I1205" s="577"/>
      <c r="J1205" s="513"/>
    </row>
    <row r="1206" customHeight="1" spans="4:10">
      <c r="D1206" s="577"/>
      <c r="E1206" s="577"/>
      <c r="F1206" s="577"/>
      <c r="G1206" s="577"/>
      <c r="H1206" s="577"/>
      <c r="I1206" s="577"/>
      <c r="J1206" s="513"/>
    </row>
    <row r="1207" customHeight="1" spans="4:10">
      <c r="D1207" s="577"/>
      <c r="E1207" s="577"/>
      <c r="F1207" s="577"/>
      <c r="G1207" s="577"/>
      <c r="H1207" s="577"/>
      <c r="I1207" s="577"/>
      <c r="J1207" s="513"/>
    </row>
    <row r="1208" customHeight="1" spans="4:10">
      <c r="D1208" s="577"/>
      <c r="E1208" s="577"/>
      <c r="F1208" s="577"/>
      <c r="G1208" s="577"/>
      <c r="H1208" s="577"/>
      <c r="I1208" s="577"/>
      <c r="J1208" s="513"/>
    </row>
    <row r="1209" customHeight="1" spans="4:10">
      <c r="D1209" s="577"/>
      <c r="E1209" s="577"/>
      <c r="F1209" s="577"/>
      <c r="G1209" s="577"/>
      <c r="H1209" s="577"/>
      <c r="I1209" s="577"/>
      <c r="J1209" s="513"/>
    </row>
    <row r="1210" customHeight="1" spans="4:10">
      <c r="D1210" s="577"/>
      <c r="E1210" s="577"/>
      <c r="F1210" s="577"/>
      <c r="G1210" s="577"/>
      <c r="H1210" s="577"/>
      <c r="I1210" s="577"/>
      <c r="J1210" s="513"/>
    </row>
    <row r="1211" customHeight="1" spans="4:10">
      <c r="D1211" s="577"/>
      <c r="E1211" s="577"/>
      <c r="F1211" s="577"/>
      <c r="G1211" s="577"/>
      <c r="H1211" s="577"/>
      <c r="I1211" s="577"/>
      <c r="J1211" s="513"/>
    </row>
    <row r="1212" customHeight="1" spans="4:10">
      <c r="D1212" s="577"/>
      <c r="E1212" s="577"/>
      <c r="F1212" s="577"/>
      <c r="G1212" s="577"/>
      <c r="H1212" s="577"/>
      <c r="I1212" s="577"/>
      <c r="J1212" s="513"/>
    </row>
    <row r="1213" customHeight="1" spans="4:10">
      <c r="D1213" s="577"/>
      <c r="E1213" s="577"/>
      <c r="F1213" s="577"/>
      <c r="G1213" s="577"/>
      <c r="H1213" s="577"/>
      <c r="I1213" s="577"/>
      <c r="J1213" s="513"/>
    </row>
    <row r="1214" customHeight="1" spans="4:10">
      <c r="D1214" s="577"/>
      <c r="E1214" s="577"/>
      <c r="F1214" s="577"/>
      <c r="G1214" s="577"/>
      <c r="H1214" s="577"/>
      <c r="I1214" s="577"/>
      <c r="J1214" s="513"/>
    </row>
    <row r="1215" customHeight="1" spans="4:10">
      <c r="D1215" s="577"/>
      <c r="E1215" s="577"/>
      <c r="F1215" s="577"/>
      <c r="G1215" s="577"/>
      <c r="H1215" s="577"/>
      <c r="I1215" s="577"/>
      <c r="J1215" s="513"/>
    </row>
    <row r="1216" customHeight="1" spans="4:10">
      <c r="D1216" s="577"/>
      <c r="E1216" s="577"/>
      <c r="F1216" s="577"/>
      <c r="G1216" s="577"/>
      <c r="H1216" s="577"/>
      <c r="I1216" s="577"/>
      <c r="J1216" s="513"/>
    </row>
    <row r="1217" customHeight="1" spans="4:10">
      <c r="D1217" s="577"/>
      <c r="E1217" s="577"/>
      <c r="F1217" s="577"/>
      <c r="G1217" s="577"/>
      <c r="H1217" s="577"/>
      <c r="I1217" s="577"/>
      <c r="J1217" s="513"/>
    </row>
    <row r="1218" customHeight="1" spans="4:10">
      <c r="D1218" s="577"/>
      <c r="E1218" s="577"/>
      <c r="F1218" s="577"/>
      <c r="G1218" s="577"/>
      <c r="H1218" s="577"/>
      <c r="I1218" s="577"/>
      <c r="J1218" s="513"/>
    </row>
    <row r="1219" customHeight="1" spans="4:10">
      <c r="D1219" s="577"/>
      <c r="E1219" s="577"/>
      <c r="F1219" s="577"/>
      <c r="G1219" s="577"/>
      <c r="H1219" s="577"/>
      <c r="I1219" s="577"/>
      <c r="J1219" s="513"/>
    </row>
    <row r="1220" customHeight="1" spans="4:10">
      <c r="D1220" s="577"/>
      <c r="E1220" s="577"/>
      <c r="F1220" s="577"/>
      <c r="G1220" s="577"/>
      <c r="H1220" s="577"/>
      <c r="I1220" s="577"/>
      <c r="J1220" s="513"/>
    </row>
    <row r="1221" customHeight="1" spans="4:10">
      <c r="D1221" s="577"/>
      <c r="E1221" s="577"/>
      <c r="F1221" s="577"/>
      <c r="G1221" s="577"/>
      <c r="H1221" s="577"/>
      <c r="I1221" s="577"/>
      <c r="J1221" s="513"/>
    </row>
    <row r="1222" customHeight="1" spans="4:10">
      <c r="D1222" s="577"/>
      <c r="E1222" s="577"/>
      <c r="F1222" s="577"/>
      <c r="G1222" s="577"/>
      <c r="H1222" s="577"/>
      <c r="I1222" s="577"/>
      <c r="J1222" s="513"/>
    </row>
    <row r="1223" customHeight="1" spans="4:10">
      <c r="D1223" s="577"/>
      <c r="E1223" s="577"/>
      <c r="F1223" s="577"/>
      <c r="G1223" s="577"/>
      <c r="H1223" s="577"/>
      <c r="I1223" s="577"/>
      <c r="J1223" s="513"/>
    </row>
    <row r="1224" customHeight="1" spans="4:10">
      <c r="D1224" s="577"/>
      <c r="E1224" s="577"/>
      <c r="F1224" s="577"/>
      <c r="G1224" s="577"/>
      <c r="H1224" s="577"/>
      <c r="I1224" s="577"/>
      <c r="J1224" s="513"/>
    </row>
    <row r="1225" customHeight="1" spans="4:10">
      <c r="D1225" s="577"/>
      <c r="E1225" s="577"/>
      <c r="F1225" s="577"/>
      <c r="G1225" s="577"/>
      <c r="H1225" s="577"/>
      <c r="I1225" s="577"/>
      <c r="J1225" s="513"/>
    </row>
    <row r="1226" customHeight="1" spans="4:10">
      <c r="D1226" s="577"/>
      <c r="E1226" s="577"/>
      <c r="F1226" s="577"/>
      <c r="G1226" s="577"/>
      <c r="H1226" s="577"/>
      <c r="I1226" s="577"/>
      <c r="J1226" s="513"/>
    </row>
    <row r="1227" customHeight="1" spans="4:10">
      <c r="D1227" s="577"/>
      <c r="E1227" s="577"/>
      <c r="F1227" s="577"/>
      <c r="G1227" s="577"/>
      <c r="H1227" s="577"/>
      <c r="I1227" s="577"/>
      <c r="J1227" s="513"/>
    </row>
    <row r="1228" customHeight="1" spans="4:10">
      <c r="D1228" s="577"/>
      <c r="E1228" s="577"/>
      <c r="F1228" s="577"/>
      <c r="G1228" s="577"/>
      <c r="H1228" s="577"/>
      <c r="I1228" s="577"/>
      <c r="J1228" s="513"/>
    </row>
    <row r="1229" customHeight="1" spans="4:10">
      <c r="D1229" s="577"/>
      <c r="E1229" s="577"/>
      <c r="F1229" s="577"/>
      <c r="G1229" s="577"/>
      <c r="H1229" s="577"/>
      <c r="I1229" s="577"/>
      <c r="J1229" s="513"/>
    </row>
    <row r="1230" customHeight="1" spans="4:10">
      <c r="D1230" s="577"/>
      <c r="E1230" s="577"/>
      <c r="F1230" s="577"/>
      <c r="G1230" s="577"/>
      <c r="H1230" s="577"/>
      <c r="I1230" s="577"/>
      <c r="J1230" s="513"/>
    </row>
    <row r="1231" customHeight="1" spans="4:10">
      <c r="D1231" s="577"/>
      <c r="E1231" s="577"/>
      <c r="F1231" s="577"/>
      <c r="G1231" s="577"/>
      <c r="H1231" s="577"/>
      <c r="I1231" s="577"/>
      <c r="J1231" s="513"/>
    </row>
    <row r="1232" customHeight="1" spans="4:10">
      <c r="D1232" s="577"/>
      <c r="E1232" s="577"/>
      <c r="F1232" s="577"/>
      <c r="G1232" s="577"/>
      <c r="H1232" s="577"/>
      <c r="I1232" s="577"/>
      <c r="J1232" s="513"/>
    </row>
    <row r="1233" customHeight="1" spans="4:10">
      <c r="D1233" s="577"/>
      <c r="E1233" s="577"/>
      <c r="F1233" s="577"/>
      <c r="G1233" s="577"/>
      <c r="H1233" s="577"/>
      <c r="I1233" s="577"/>
      <c r="J1233" s="513"/>
    </row>
    <row r="1234" customHeight="1" spans="4:10">
      <c r="D1234" s="577"/>
      <c r="E1234" s="577"/>
      <c r="F1234" s="577"/>
      <c r="G1234" s="577"/>
      <c r="H1234" s="577"/>
      <c r="I1234" s="577"/>
      <c r="J1234" s="513"/>
    </row>
    <row r="1235" customHeight="1" spans="4:10">
      <c r="D1235" s="577"/>
      <c r="E1235" s="577"/>
      <c r="F1235" s="577"/>
      <c r="G1235" s="577"/>
      <c r="H1235" s="577"/>
      <c r="I1235" s="577"/>
      <c r="J1235" s="513"/>
    </row>
    <row r="1236" customHeight="1" spans="4:10">
      <c r="D1236" s="577"/>
      <c r="E1236" s="577"/>
      <c r="F1236" s="577"/>
      <c r="G1236" s="577"/>
      <c r="H1236" s="577"/>
      <c r="I1236" s="577"/>
      <c r="J1236" s="513"/>
    </row>
    <row r="1237" customHeight="1" spans="4:10">
      <c r="D1237" s="577"/>
      <c r="E1237" s="577"/>
      <c r="F1237" s="577"/>
      <c r="G1237" s="577"/>
      <c r="H1237" s="577"/>
      <c r="I1237" s="577"/>
      <c r="J1237" s="513"/>
    </row>
    <row r="1238" customHeight="1" spans="4:10">
      <c r="D1238" s="577"/>
      <c r="E1238" s="577"/>
      <c r="F1238" s="577"/>
      <c r="G1238" s="577"/>
      <c r="H1238" s="577"/>
      <c r="I1238" s="577"/>
      <c r="J1238" s="513"/>
    </row>
    <row r="1239" customHeight="1" spans="4:10">
      <c r="D1239" s="577"/>
      <c r="E1239" s="577"/>
      <c r="F1239" s="577"/>
      <c r="G1239" s="577"/>
      <c r="H1239" s="577"/>
      <c r="I1239" s="577"/>
      <c r="J1239" s="513"/>
    </row>
    <row r="1240" customHeight="1" spans="4:10">
      <c r="D1240" s="577"/>
      <c r="E1240" s="577"/>
      <c r="F1240" s="577"/>
      <c r="G1240" s="577"/>
      <c r="H1240" s="577"/>
      <c r="I1240" s="577"/>
      <c r="J1240" s="513"/>
    </row>
    <row r="1241" customHeight="1" spans="4:10">
      <c r="D1241" s="577"/>
      <c r="E1241" s="577"/>
      <c r="F1241" s="577"/>
      <c r="G1241" s="577"/>
      <c r="H1241" s="577"/>
      <c r="I1241" s="577"/>
      <c r="J1241" s="513"/>
    </row>
    <row r="1242" customHeight="1" spans="4:10">
      <c r="D1242" s="577"/>
      <c r="E1242" s="577"/>
      <c r="F1242" s="577"/>
      <c r="G1242" s="577"/>
      <c r="H1242" s="577"/>
      <c r="I1242" s="577"/>
      <c r="J1242" s="513"/>
    </row>
    <row r="1243" customHeight="1" spans="4:10">
      <c r="D1243" s="577"/>
      <c r="E1243" s="577"/>
      <c r="F1243" s="577"/>
      <c r="G1243" s="577"/>
      <c r="H1243" s="577"/>
      <c r="I1243" s="577"/>
      <c r="J1243" s="513"/>
    </row>
    <row r="1244" customHeight="1" spans="4:10">
      <c r="D1244" s="577"/>
      <c r="E1244" s="577"/>
      <c r="F1244" s="577"/>
      <c r="G1244" s="577"/>
      <c r="H1244" s="577"/>
      <c r="I1244" s="577"/>
      <c r="J1244" s="513"/>
    </row>
    <row r="1245" customHeight="1" spans="4:10">
      <c r="D1245" s="577"/>
      <c r="E1245" s="577"/>
      <c r="F1245" s="577"/>
      <c r="G1245" s="577"/>
      <c r="H1245" s="577"/>
      <c r="I1245" s="577"/>
      <c r="J1245" s="513"/>
    </row>
    <row r="1246" customHeight="1" spans="4:10">
      <c r="D1246" s="577"/>
      <c r="E1246" s="577"/>
      <c r="F1246" s="577"/>
      <c r="G1246" s="577"/>
      <c r="H1246" s="577"/>
      <c r="I1246" s="577"/>
      <c r="J1246" s="513"/>
    </row>
    <row r="1247" customHeight="1" spans="4:10">
      <c r="D1247" s="577"/>
      <c r="E1247" s="577"/>
      <c r="F1247" s="577"/>
      <c r="G1247" s="577"/>
      <c r="H1247" s="577"/>
      <c r="I1247" s="577"/>
      <c r="J1247" s="513"/>
    </row>
    <row r="1248" customHeight="1" spans="4:10">
      <c r="D1248" s="577"/>
      <c r="E1248" s="577"/>
      <c r="F1248" s="577"/>
      <c r="G1248" s="577"/>
      <c r="H1248" s="577"/>
      <c r="I1248" s="577"/>
      <c r="J1248" s="513"/>
    </row>
    <row r="1249" customHeight="1" spans="4:10">
      <c r="D1249" s="577"/>
      <c r="E1249" s="577"/>
      <c r="F1249" s="577"/>
      <c r="G1249" s="577"/>
      <c r="H1249" s="577"/>
      <c r="I1249" s="577"/>
      <c r="J1249" s="513"/>
    </row>
    <row r="1250" customHeight="1" spans="4:10">
      <c r="D1250" s="577"/>
      <c r="E1250" s="577"/>
      <c r="F1250" s="577"/>
      <c r="G1250" s="577"/>
      <c r="H1250" s="577"/>
      <c r="I1250" s="577"/>
      <c r="J1250" s="513"/>
    </row>
    <row r="1251" customHeight="1" spans="4:10">
      <c r="D1251" s="577"/>
      <c r="E1251" s="577"/>
      <c r="F1251" s="577"/>
      <c r="G1251" s="577"/>
      <c r="H1251" s="577"/>
      <c r="I1251" s="577"/>
      <c r="J1251" s="513"/>
    </row>
    <row r="1252" customHeight="1" spans="4:10">
      <c r="D1252" s="577"/>
      <c r="E1252" s="577"/>
      <c r="F1252" s="577"/>
      <c r="G1252" s="577"/>
      <c r="H1252" s="577"/>
      <c r="I1252" s="577"/>
      <c r="J1252" s="513"/>
    </row>
    <row r="1253" customHeight="1" spans="4:10">
      <c r="D1253" s="577"/>
      <c r="E1253" s="577"/>
      <c r="F1253" s="577"/>
      <c r="G1253" s="577"/>
      <c r="H1253" s="577"/>
      <c r="I1253" s="577"/>
      <c r="J1253" s="513"/>
    </row>
    <row r="1254" customHeight="1" spans="4:10">
      <c r="D1254" s="577"/>
      <c r="E1254" s="577"/>
      <c r="F1254" s="577"/>
      <c r="G1254" s="577"/>
      <c r="H1254" s="577"/>
      <c r="I1254" s="577"/>
      <c r="J1254" s="513"/>
    </row>
    <row r="1255" customHeight="1" spans="4:10">
      <c r="D1255" s="577"/>
      <c r="E1255" s="577"/>
      <c r="F1255" s="577"/>
      <c r="G1255" s="577"/>
      <c r="H1255" s="577"/>
      <c r="I1255" s="577"/>
      <c r="J1255" s="513"/>
    </row>
    <row r="1256" customHeight="1" spans="4:10">
      <c r="D1256" s="577"/>
      <c r="E1256" s="577"/>
      <c r="F1256" s="577"/>
      <c r="G1256" s="577"/>
      <c r="H1256" s="577"/>
      <c r="I1256" s="577"/>
      <c r="J1256" s="513"/>
    </row>
    <row r="1257" customHeight="1" spans="4:10">
      <c r="D1257" s="577"/>
      <c r="E1257" s="577"/>
      <c r="F1257" s="577"/>
      <c r="G1257" s="577"/>
      <c r="H1257" s="577"/>
      <c r="I1257" s="577"/>
      <c r="J1257" s="513"/>
    </row>
    <row r="1258" customHeight="1" spans="4:10">
      <c r="D1258" s="577"/>
      <c r="E1258" s="577"/>
      <c r="F1258" s="577"/>
      <c r="G1258" s="577"/>
      <c r="H1258" s="577"/>
      <c r="I1258" s="577"/>
      <c r="J1258" s="513"/>
    </row>
    <row r="1259" customHeight="1" spans="4:10">
      <c r="D1259" s="577"/>
      <c r="E1259" s="577"/>
      <c r="F1259" s="577"/>
      <c r="G1259" s="577"/>
      <c r="H1259" s="577"/>
      <c r="I1259" s="577"/>
      <c r="J1259" s="513"/>
    </row>
    <row r="1260" customHeight="1" spans="4:10">
      <c r="D1260" s="577"/>
      <c r="E1260" s="577"/>
      <c r="F1260" s="577"/>
      <c r="G1260" s="577"/>
      <c r="H1260" s="577"/>
      <c r="I1260" s="577"/>
      <c r="J1260" s="513"/>
    </row>
    <row r="1261" customHeight="1" spans="4:10">
      <c r="D1261" s="577"/>
      <c r="E1261" s="577"/>
      <c r="F1261" s="577"/>
      <c r="G1261" s="577"/>
      <c r="H1261" s="577"/>
      <c r="I1261" s="577"/>
      <c r="J1261" s="513"/>
    </row>
    <row r="1262" customHeight="1" spans="4:10">
      <c r="D1262" s="577"/>
      <c r="E1262" s="577"/>
      <c r="F1262" s="577"/>
      <c r="G1262" s="577"/>
      <c r="H1262" s="577"/>
      <c r="I1262" s="577"/>
      <c r="J1262" s="513"/>
    </row>
    <row r="1263" customHeight="1" spans="4:10">
      <c r="D1263" s="577"/>
      <c r="E1263" s="577"/>
      <c r="F1263" s="577"/>
      <c r="G1263" s="577"/>
      <c r="H1263" s="577"/>
      <c r="I1263" s="577"/>
      <c r="J1263" s="513"/>
    </row>
    <row r="1264" customHeight="1" spans="4:10">
      <c r="D1264" s="577"/>
      <c r="E1264" s="577"/>
      <c r="F1264" s="577"/>
      <c r="G1264" s="577"/>
      <c r="H1264" s="577"/>
      <c r="I1264" s="577"/>
      <c r="J1264" s="513"/>
    </row>
    <row r="1265" customHeight="1" spans="4:10">
      <c r="D1265" s="577"/>
      <c r="E1265" s="577"/>
      <c r="F1265" s="577"/>
      <c r="G1265" s="577"/>
      <c r="H1265" s="577"/>
      <c r="I1265" s="577"/>
      <c r="J1265" s="513"/>
    </row>
    <row r="1266" customHeight="1" spans="4:10">
      <c r="D1266" s="577"/>
      <c r="E1266" s="577"/>
      <c r="F1266" s="577"/>
      <c r="G1266" s="577"/>
      <c r="H1266" s="577"/>
      <c r="I1266" s="577"/>
      <c r="J1266" s="513"/>
    </row>
    <row r="1267" customHeight="1" spans="4:10">
      <c r="D1267" s="577"/>
      <c r="E1267" s="577"/>
      <c r="F1267" s="577"/>
      <c r="G1267" s="577"/>
      <c r="H1267" s="577"/>
      <c r="I1267" s="577"/>
      <c r="J1267" s="513"/>
    </row>
    <row r="1268" customHeight="1" spans="4:10">
      <c r="D1268" s="577"/>
      <c r="E1268" s="577"/>
      <c r="F1268" s="577"/>
      <c r="G1268" s="577"/>
      <c r="H1268" s="577"/>
      <c r="I1268" s="577"/>
      <c r="J1268" s="513"/>
    </row>
    <row r="1269" customHeight="1" spans="4:10">
      <c r="D1269" s="577"/>
      <c r="E1269" s="577"/>
      <c r="F1269" s="577"/>
      <c r="G1269" s="577"/>
      <c r="H1269" s="577"/>
      <c r="I1269" s="577"/>
      <c r="J1269" s="513"/>
    </row>
    <row r="1270" customHeight="1" spans="4:10">
      <c r="D1270" s="577"/>
      <c r="E1270" s="577"/>
      <c r="F1270" s="577"/>
      <c r="G1270" s="577"/>
      <c r="H1270" s="577"/>
      <c r="I1270" s="577"/>
      <c r="J1270" s="513"/>
    </row>
    <row r="1271" customHeight="1" spans="4:10">
      <c r="D1271" s="577"/>
      <c r="E1271" s="577"/>
      <c r="F1271" s="577"/>
      <c r="G1271" s="577"/>
      <c r="H1271" s="577"/>
      <c r="I1271" s="577"/>
      <c r="J1271" s="513"/>
    </row>
    <row r="1272" customHeight="1" spans="4:10">
      <c r="D1272" s="577"/>
      <c r="E1272" s="577"/>
      <c r="F1272" s="577"/>
      <c r="G1272" s="577"/>
      <c r="H1272" s="577"/>
      <c r="I1272" s="577"/>
      <c r="J1272" s="513"/>
    </row>
    <row r="1273" customHeight="1" spans="4:10">
      <c r="D1273" s="577"/>
      <c r="E1273" s="577"/>
      <c r="F1273" s="577"/>
      <c r="G1273" s="577"/>
      <c r="H1273" s="577"/>
      <c r="I1273" s="577"/>
      <c r="J1273" s="513"/>
    </row>
    <row r="1274" customHeight="1" spans="4:10">
      <c r="D1274" s="577"/>
      <c r="E1274" s="577"/>
      <c r="F1274" s="577"/>
      <c r="G1274" s="577"/>
      <c r="H1274" s="577"/>
      <c r="I1274" s="577"/>
      <c r="J1274" s="513"/>
    </row>
    <row r="1275" customHeight="1" spans="4:10">
      <c r="D1275" s="577"/>
      <c r="E1275" s="577"/>
      <c r="F1275" s="577"/>
      <c r="G1275" s="577"/>
      <c r="H1275" s="577"/>
      <c r="I1275" s="577"/>
      <c r="J1275" s="513"/>
    </row>
    <row r="1276" customHeight="1" spans="4:10">
      <c r="D1276" s="577"/>
      <c r="E1276" s="577"/>
      <c r="F1276" s="577"/>
      <c r="G1276" s="577"/>
      <c r="H1276" s="577"/>
      <c r="I1276" s="577"/>
      <c r="J1276" s="513"/>
    </row>
    <row r="1277" customHeight="1" spans="4:10">
      <c r="D1277" s="577"/>
      <c r="E1277" s="577"/>
      <c r="F1277" s="577"/>
      <c r="G1277" s="577"/>
      <c r="H1277" s="577"/>
      <c r="I1277" s="577"/>
      <c r="J1277" s="513"/>
    </row>
    <row r="1278" customHeight="1" spans="4:10">
      <c r="D1278" s="577"/>
      <c r="E1278" s="577"/>
      <c r="F1278" s="577"/>
      <c r="G1278" s="577"/>
      <c r="H1278" s="577"/>
      <c r="I1278" s="577"/>
      <c r="J1278" s="513"/>
    </row>
    <row r="1279" customHeight="1" spans="4:10">
      <c r="D1279" s="577"/>
      <c r="E1279" s="577"/>
      <c r="F1279" s="577"/>
      <c r="G1279" s="577"/>
      <c r="H1279" s="577"/>
      <c r="I1279" s="577"/>
      <c r="J1279" s="513"/>
    </row>
    <row r="1280" customHeight="1" spans="4:10">
      <c r="D1280" s="577"/>
      <c r="E1280" s="577"/>
      <c r="F1280" s="577"/>
      <c r="G1280" s="577"/>
      <c r="H1280" s="577"/>
      <c r="I1280" s="577"/>
      <c r="J1280" s="513"/>
    </row>
    <row r="1281" customHeight="1" spans="4:10">
      <c r="D1281" s="577"/>
      <c r="E1281" s="577"/>
      <c r="F1281" s="577"/>
      <c r="G1281" s="577"/>
      <c r="H1281" s="577"/>
      <c r="I1281" s="577"/>
      <c r="J1281" s="513"/>
    </row>
    <row r="1282" customHeight="1" spans="4:10">
      <c r="D1282" s="577"/>
      <c r="E1282" s="577"/>
      <c r="F1282" s="577"/>
      <c r="G1282" s="577"/>
      <c r="H1282" s="577"/>
      <c r="I1282" s="577"/>
      <c r="J1282" s="513"/>
    </row>
    <row r="1283" customHeight="1" spans="4:10">
      <c r="D1283" s="577"/>
      <c r="E1283" s="577"/>
      <c r="F1283" s="577"/>
      <c r="G1283" s="577"/>
      <c r="H1283" s="577"/>
      <c r="I1283" s="577"/>
      <c r="J1283" s="513"/>
    </row>
    <row r="1284" customHeight="1" spans="4:10">
      <c r="D1284" s="577"/>
      <c r="E1284" s="577"/>
      <c r="F1284" s="577"/>
      <c r="G1284" s="577"/>
      <c r="H1284" s="577"/>
      <c r="I1284" s="577"/>
      <c r="J1284" s="513"/>
    </row>
    <row r="1285" customHeight="1" spans="4:10">
      <c r="D1285" s="577"/>
      <c r="E1285" s="577"/>
      <c r="F1285" s="577"/>
      <c r="G1285" s="577"/>
      <c r="H1285" s="577"/>
      <c r="I1285" s="577"/>
      <c r="J1285" s="513"/>
    </row>
    <row r="1286" customHeight="1" spans="4:10">
      <c r="D1286" s="577"/>
      <c r="E1286" s="577"/>
      <c r="F1286" s="577"/>
      <c r="G1286" s="577"/>
      <c r="H1286" s="577"/>
      <c r="I1286" s="577"/>
      <c r="J1286" s="513"/>
    </row>
    <row r="1287" customHeight="1" spans="4:10">
      <c r="D1287" s="577"/>
      <c r="E1287" s="577"/>
      <c r="F1287" s="577"/>
      <c r="G1287" s="577"/>
      <c r="H1287" s="577"/>
      <c r="I1287" s="577"/>
      <c r="J1287" s="513"/>
    </row>
    <row r="1288" customHeight="1" spans="4:10">
      <c r="D1288" s="577"/>
      <c r="E1288" s="577"/>
      <c r="F1288" s="577"/>
      <c r="G1288" s="577"/>
      <c r="H1288" s="577"/>
      <c r="I1288" s="577"/>
      <c r="J1288" s="513"/>
    </row>
    <row r="1289" customHeight="1" spans="4:10">
      <c r="D1289" s="577"/>
      <c r="E1289" s="577"/>
      <c r="F1289" s="577"/>
      <c r="G1289" s="577"/>
      <c r="H1289" s="577"/>
      <c r="I1289" s="577"/>
      <c r="J1289" s="513"/>
    </row>
    <row r="1290" customHeight="1" spans="4:10">
      <c r="D1290" s="577"/>
      <c r="E1290" s="577"/>
      <c r="F1290" s="577"/>
      <c r="G1290" s="577"/>
      <c r="H1290" s="577"/>
      <c r="I1290" s="577"/>
      <c r="J1290" s="513"/>
    </row>
    <row r="1291" customHeight="1" spans="4:10">
      <c r="D1291" s="577"/>
      <c r="E1291" s="577"/>
      <c r="F1291" s="577"/>
      <c r="G1291" s="577"/>
      <c r="H1291" s="577"/>
      <c r="I1291" s="577"/>
      <c r="J1291" s="513"/>
    </row>
    <row r="1292" customHeight="1" spans="4:10">
      <c r="D1292" s="577"/>
      <c r="E1292" s="577"/>
      <c r="F1292" s="577"/>
      <c r="G1292" s="577"/>
      <c r="H1292" s="577"/>
      <c r="I1292" s="577"/>
      <c r="J1292" s="513"/>
    </row>
    <row r="1293" customHeight="1" spans="4:10">
      <c r="D1293" s="577"/>
      <c r="E1293" s="577"/>
      <c r="F1293" s="577"/>
      <c r="G1293" s="577"/>
      <c r="H1293" s="577"/>
      <c r="I1293" s="577"/>
      <c r="J1293" s="513"/>
    </row>
    <row r="1294" customHeight="1" spans="4:10">
      <c r="D1294" s="577"/>
      <c r="E1294" s="577"/>
      <c r="F1294" s="577"/>
      <c r="G1294" s="577"/>
      <c r="H1294" s="577"/>
      <c r="I1294" s="577"/>
      <c r="J1294" s="513"/>
    </row>
    <row r="1295" customHeight="1" spans="4:10">
      <c r="D1295" s="577"/>
      <c r="E1295" s="577"/>
      <c r="F1295" s="577"/>
      <c r="G1295" s="577"/>
      <c r="H1295" s="577"/>
      <c r="I1295" s="577"/>
      <c r="J1295" s="513"/>
    </row>
    <row r="1296" customHeight="1" spans="4:10">
      <c r="D1296" s="577"/>
      <c r="E1296" s="577"/>
      <c r="F1296" s="577"/>
      <c r="G1296" s="577"/>
      <c r="H1296" s="577"/>
      <c r="I1296" s="577"/>
      <c r="J1296" s="513"/>
    </row>
    <row r="1297" customHeight="1" spans="4:10">
      <c r="D1297" s="577"/>
      <c r="E1297" s="577"/>
      <c r="F1297" s="577"/>
      <c r="G1297" s="577"/>
      <c r="H1297" s="577"/>
      <c r="I1297" s="577"/>
      <c r="J1297" s="513"/>
    </row>
    <row r="1298" customHeight="1" spans="4:10">
      <c r="D1298" s="577"/>
      <c r="E1298" s="577"/>
      <c r="F1298" s="577"/>
      <c r="G1298" s="577"/>
      <c r="H1298" s="577"/>
      <c r="I1298" s="577"/>
      <c r="J1298" s="513"/>
    </row>
    <row r="1299" customHeight="1" spans="4:10">
      <c r="D1299" s="577"/>
      <c r="E1299" s="577"/>
      <c r="F1299" s="577"/>
      <c r="G1299" s="577"/>
      <c r="H1299" s="577"/>
      <c r="I1299" s="577"/>
      <c r="J1299" s="513"/>
    </row>
    <row r="1300" customHeight="1" spans="4:10">
      <c r="D1300" s="577"/>
      <c r="E1300" s="577"/>
      <c r="F1300" s="577"/>
      <c r="G1300" s="577"/>
      <c r="H1300" s="577"/>
      <c r="I1300" s="577"/>
      <c r="J1300" s="513"/>
    </row>
    <row r="1301" customHeight="1" spans="4:10">
      <c r="D1301" s="577"/>
      <c r="E1301" s="577"/>
      <c r="F1301" s="577"/>
      <c r="G1301" s="577"/>
      <c r="H1301" s="577"/>
      <c r="I1301" s="577"/>
      <c r="J1301" s="513"/>
    </row>
    <row r="1302" customHeight="1" spans="4:10">
      <c r="D1302" s="577"/>
      <c r="E1302" s="577"/>
      <c r="F1302" s="577"/>
      <c r="G1302" s="577"/>
      <c r="H1302" s="577"/>
      <c r="I1302" s="577"/>
      <c r="J1302" s="513"/>
    </row>
    <row r="1303" customHeight="1" spans="4:10">
      <c r="D1303" s="577"/>
      <c r="E1303" s="577"/>
      <c r="F1303" s="577"/>
      <c r="G1303" s="577"/>
      <c r="H1303" s="577"/>
      <c r="I1303" s="577"/>
      <c r="J1303" s="513"/>
    </row>
    <row r="1304" customHeight="1" spans="4:10">
      <c r="D1304" s="577"/>
      <c r="E1304" s="577"/>
      <c r="F1304" s="577"/>
      <c r="G1304" s="577"/>
      <c r="H1304" s="577"/>
      <c r="I1304" s="577"/>
      <c r="J1304" s="513"/>
    </row>
    <row r="1305" customHeight="1" spans="4:10">
      <c r="D1305" s="577"/>
      <c r="E1305" s="577"/>
      <c r="F1305" s="577"/>
      <c r="G1305" s="577"/>
      <c r="H1305" s="577"/>
      <c r="I1305" s="577"/>
      <c r="J1305" s="513"/>
    </row>
    <row r="1306" customHeight="1" spans="4:10">
      <c r="D1306" s="577"/>
      <c r="E1306" s="577"/>
      <c r="F1306" s="577"/>
      <c r="G1306" s="577"/>
      <c r="H1306" s="577"/>
      <c r="I1306" s="577"/>
      <c r="J1306" s="513"/>
    </row>
    <row r="1307" customHeight="1" spans="4:10">
      <c r="D1307" s="577"/>
      <c r="E1307" s="577"/>
      <c r="F1307" s="577"/>
      <c r="G1307" s="577"/>
      <c r="H1307" s="577"/>
      <c r="I1307" s="577"/>
      <c r="J1307" s="513"/>
    </row>
    <row r="1308" customHeight="1" spans="4:10">
      <c r="D1308" s="577"/>
      <c r="E1308" s="577"/>
      <c r="F1308" s="577"/>
      <c r="G1308" s="577"/>
      <c r="H1308" s="577"/>
      <c r="I1308" s="577"/>
      <c r="J1308" s="513"/>
    </row>
    <row r="1309" customHeight="1" spans="4:10">
      <c r="D1309" s="577"/>
      <c r="E1309" s="577"/>
      <c r="F1309" s="577"/>
      <c r="G1309" s="577"/>
      <c r="H1309" s="577"/>
      <c r="I1309" s="577"/>
      <c r="J1309" s="513"/>
    </row>
    <row r="1310" customHeight="1" spans="4:10">
      <c r="D1310" s="577"/>
      <c r="E1310" s="577"/>
      <c r="F1310" s="577"/>
      <c r="G1310" s="577"/>
      <c r="H1310" s="577"/>
      <c r="I1310" s="577"/>
      <c r="J1310" s="513"/>
    </row>
    <row r="1311" customHeight="1" spans="4:10">
      <c r="D1311" s="577"/>
      <c r="E1311" s="577"/>
      <c r="F1311" s="577"/>
      <c r="G1311" s="577"/>
      <c r="H1311" s="577"/>
      <c r="I1311" s="577"/>
      <c r="J1311" s="513"/>
    </row>
    <row r="1312" customHeight="1" spans="4:10">
      <c r="D1312" s="577"/>
      <c r="E1312" s="577"/>
      <c r="F1312" s="577"/>
      <c r="G1312" s="577"/>
      <c r="H1312" s="577"/>
      <c r="I1312" s="577"/>
      <c r="J1312" s="513"/>
    </row>
    <row r="1313" customHeight="1" spans="4:10">
      <c r="D1313" s="577"/>
      <c r="E1313" s="577"/>
      <c r="F1313" s="577"/>
      <c r="G1313" s="577"/>
      <c r="H1313" s="577"/>
      <c r="I1313" s="577"/>
      <c r="J1313" s="513"/>
    </row>
    <row r="1314" customHeight="1" spans="4:10">
      <c r="D1314" s="577"/>
      <c r="E1314" s="577"/>
      <c r="F1314" s="577"/>
      <c r="G1314" s="577"/>
      <c r="H1314" s="577"/>
      <c r="I1314" s="577"/>
      <c r="J1314" s="513"/>
    </row>
    <row r="1315" customHeight="1" spans="4:10">
      <c r="D1315" s="577"/>
      <c r="E1315" s="577"/>
      <c r="F1315" s="577"/>
      <c r="G1315" s="577"/>
      <c r="H1315" s="577"/>
      <c r="I1315" s="577"/>
      <c r="J1315" s="513"/>
    </row>
    <row r="1316" customHeight="1" spans="4:10">
      <c r="D1316" s="577"/>
      <c r="E1316" s="577"/>
      <c r="F1316" s="577"/>
      <c r="G1316" s="577"/>
      <c r="H1316" s="577"/>
      <c r="I1316" s="577"/>
      <c r="J1316" s="513"/>
    </row>
    <row r="1317" customHeight="1" spans="4:10">
      <c r="D1317" s="577"/>
      <c r="E1317" s="577"/>
      <c r="F1317" s="577"/>
      <c r="G1317" s="577"/>
      <c r="H1317" s="577"/>
      <c r="I1317" s="577"/>
      <c r="J1317" s="513"/>
    </row>
    <row r="1318" customHeight="1" spans="4:10">
      <c r="D1318" s="577"/>
      <c r="E1318" s="577"/>
      <c r="F1318" s="577"/>
      <c r="G1318" s="577"/>
      <c r="H1318" s="577"/>
      <c r="I1318" s="577"/>
      <c r="J1318" s="513"/>
    </row>
    <row r="1319" customHeight="1" spans="4:10">
      <c r="D1319" s="577"/>
      <c r="E1319" s="577"/>
      <c r="F1319" s="577"/>
      <c r="G1319" s="577"/>
      <c r="H1319" s="577"/>
      <c r="I1319" s="577"/>
      <c r="J1319" s="513"/>
    </row>
    <row r="1320" customHeight="1" spans="4:10">
      <c r="D1320" s="577"/>
      <c r="E1320" s="577"/>
      <c r="F1320" s="577"/>
      <c r="G1320" s="577"/>
      <c r="H1320" s="577"/>
      <c r="I1320" s="577"/>
      <c r="J1320" s="513"/>
    </row>
    <row r="1321" customHeight="1" spans="4:10">
      <c r="D1321" s="577"/>
      <c r="E1321" s="577"/>
      <c r="F1321" s="577"/>
      <c r="G1321" s="577"/>
      <c r="H1321" s="577"/>
      <c r="I1321" s="577"/>
      <c r="J1321" s="513"/>
    </row>
    <row r="1322" customHeight="1" spans="4:10">
      <c r="D1322" s="577"/>
      <c r="E1322" s="577"/>
      <c r="F1322" s="577"/>
      <c r="G1322" s="577"/>
      <c r="H1322" s="577"/>
      <c r="I1322" s="577"/>
      <c r="J1322" s="513"/>
    </row>
    <row r="1323" customHeight="1" spans="4:10">
      <c r="D1323" s="577"/>
      <c r="E1323" s="577"/>
      <c r="F1323" s="577"/>
      <c r="G1323" s="577"/>
      <c r="H1323" s="577"/>
      <c r="I1323" s="577"/>
      <c r="J1323" s="513"/>
    </row>
    <row r="1324" customHeight="1" spans="4:10">
      <c r="D1324" s="577"/>
      <c r="E1324" s="577"/>
      <c r="F1324" s="577"/>
      <c r="G1324" s="577"/>
      <c r="H1324" s="577"/>
      <c r="I1324" s="577"/>
      <c r="J1324" s="513"/>
    </row>
    <row r="1325" customHeight="1" spans="4:10">
      <c r="D1325" s="577"/>
      <c r="E1325" s="577"/>
      <c r="F1325" s="577"/>
      <c r="G1325" s="577"/>
      <c r="H1325" s="577"/>
      <c r="I1325" s="577"/>
      <c r="J1325" s="513"/>
    </row>
    <row r="1326" customHeight="1" spans="4:10">
      <c r="D1326" s="577"/>
      <c r="E1326" s="577"/>
      <c r="F1326" s="577"/>
      <c r="G1326" s="577"/>
      <c r="H1326" s="577"/>
      <c r="I1326" s="577"/>
      <c r="J1326" s="513"/>
    </row>
    <row r="1327" customHeight="1" spans="4:10">
      <c r="D1327" s="577"/>
      <c r="E1327" s="577"/>
      <c r="F1327" s="577"/>
      <c r="G1327" s="577"/>
      <c r="H1327" s="577"/>
      <c r="I1327" s="577"/>
      <c r="J1327" s="513"/>
    </row>
    <row r="1328" customHeight="1" spans="4:10">
      <c r="D1328" s="577"/>
      <c r="E1328" s="577"/>
      <c r="F1328" s="577"/>
      <c r="G1328" s="577"/>
      <c r="H1328" s="577"/>
      <c r="I1328" s="577"/>
      <c r="J1328" s="513"/>
    </row>
    <row r="1329" customHeight="1" spans="4:10">
      <c r="D1329" s="577"/>
      <c r="E1329" s="577"/>
      <c r="F1329" s="577"/>
      <c r="G1329" s="577"/>
      <c r="H1329" s="577"/>
      <c r="I1329" s="577"/>
      <c r="J1329" s="513"/>
    </row>
    <row r="1330" customHeight="1" spans="4:10">
      <c r="D1330" s="577"/>
      <c r="E1330" s="577"/>
      <c r="F1330" s="577"/>
      <c r="G1330" s="577"/>
      <c r="H1330" s="577"/>
      <c r="I1330" s="577"/>
      <c r="J1330" s="513"/>
    </row>
    <row r="1331" customHeight="1" spans="4:10">
      <c r="D1331" s="577"/>
      <c r="E1331" s="577"/>
      <c r="F1331" s="577"/>
      <c r="G1331" s="577"/>
      <c r="H1331" s="577"/>
      <c r="I1331" s="577"/>
      <c r="J1331" s="513"/>
    </row>
    <row r="1332" customHeight="1" spans="4:10">
      <c r="D1332" s="577"/>
      <c r="E1332" s="577"/>
      <c r="F1332" s="577"/>
      <c r="G1332" s="577"/>
      <c r="H1332" s="577"/>
      <c r="I1332" s="577"/>
      <c r="J1332" s="513"/>
    </row>
    <row r="1333" customHeight="1" spans="4:10">
      <c r="D1333" s="577"/>
      <c r="E1333" s="577"/>
      <c r="F1333" s="577"/>
      <c r="G1333" s="577"/>
      <c r="H1333" s="577"/>
      <c r="I1333" s="577"/>
      <c r="J1333" s="513"/>
    </row>
    <row r="1334" customHeight="1" spans="4:10">
      <c r="D1334" s="577"/>
      <c r="E1334" s="577"/>
      <c r="F1334" s="577"/>
      <c r="G1334" s="577"/>
      <c r="H1334" s="577"/>
      <c r="I1334" s="577"/>
      <c r="J1334" s="513"/>
    </row>
    <row r="1335" customHeight="1" spans="4:10">
      <c r="D1335" s="577"/>
      <c r="E1335" s="577"/>
      <c r="F1335" s="577"/>
      <c r="G1335" s="577"/>
      <c r="H1335" s="577"/>
      <c r="I1335" s="577"/>
      <c r="J1335" s="513"/>
    </row>
    <row r="1336" customHeight="1" spans="4:10">
      <c r="D1336" s="577"/>
      <c r="E1336" s="577"/>
      <c r="F1336" s="577"/>
      <c r="G1336" s="577"/>
      <c r="H1336" s="577"/>
      <c r="I1336" s="577"/>
      <c r="J1336" s="513"/>
    </row>
    <row r="1337" customHeight="1" spans="4:10">
      <c r="D1337" s="577"/>
      <c r="E1337" s="577"/>
      <c r="F1337" s="577"/>
      <c r="G1337" s="577"/>
      <c r="H1337" s="577"/>
      <c r="I1337" s="577"/>
      <c r="J1337" s="513"/>
    </row>
    <row r="1338" customHeight="1" spans="4:10">
      <c r="D1338" s="577"/>
      <c r="E1338" s="577"/>
      <c r="F1338" s="577"/>
      <c r="G1338" s="577"/>
      <c r="H1338" s="577"/>
      <c r="I1338" s="577"/>
      <c r="J1338" s="513"/>
    </row>
    <row r="1339" customHeight="1" spans="4:10">
      <c r="D1339" s="577"/>
      <c r="E1339" s="577"/>
      <c r="F1339" s="577"/>
      <c r="G1339" s="577"/>
      <c r="H1339" s="577"/>
      <c r="I1339" s="577"/>
      <c r="J1339" s="513"/>
    </row>
    <row r="1340" customHeight="1" spans="4:10">
      <c r="D1340" s="577"/>
      <c r="E1340" s="577"/>
      <c r="F1340" s="577"/>
      <c r="G1340" s="577"/>
      <c r="H1340" s="577"/>
      <c r="I1340" s="577"/>
      <c r="J1340" s="513"/>
    </row>
    <row r="1341" customHeight="1" spans="4:10">
      <c r="D1341" s="577"/>
      <c r="E1341" s="577"/>
      <c r="F1341" s="577"/>
      <c r="G1341" s="577"/>
      <c r="H1341" s="577"/>
      <c r="I1341" s="577"/>
      <c r="J1341" s="513"/>
    </row>
    <row r="1342" customHeight="1" spans="4:10">
      <c r="D1342" s="577"/>
      <c r="E1342" s="577"/>
      <c r="F1342" s="577"/>
      <c r="G1342" s="577"/>
      <c r="H1342" s="577"/>
      <c r="I1342" s="577"/>
      <c r="J1342" s="513"/>
    </row>
    <row r="1343" customHeight="1" spans="4:10">
      <c r="D1343" s="577"/>
      <c r="E1343" s="577"/>
      <c r="F1343" s="577"/>
      <c r="G1343" s="577"/>
      <c r="H1343" s="577"/>
      <c r="I1343" s="577"/>
      <c r="J1343" s="513"/>
    </row>
    <row r="1344" customHeight="1" spans="4:10">
      <c r="D1344" s="577"/>
      <c r="E1344" s="577"/>
      <c r="F1344" s="577"/>
      <c r="G1344" s="577"/>
      <c r="H1344" s="577"/>
      <c r="I1344" s="577"/>
      <c r="J1344" s="513"/>
    </row>
    <row r="1345" customHeight="1" spans="4:10">
      <c r="D1345" s="577"/>
      <c r="E1345" s="577"/>
      <c r="F1345" s="577"/>
      <c r="G1345" s="577"/>
      <c r="H1345" s="577"/>
      <c r="I1345" s="577"/>
      <c r="J1345" s="513"/>
    </row>
    <row r="1346" customHeight="1" spans="4:10">
      <c r="D1346" s="577"/>
      <c r="E1346" s="577"/>
      <c r="F1346" s="577"/>
      <c r="G1346" s="577"/>
      <c r="H1346" s="577"/>
      <c r="I1346" s="577"/>
      <c r="J1346" s="513"/>
    </row>
    <row r="1347" customHeight="1" spans="4:10">
      <c r="D1347" s="577"/>
      <c r="E1347" s="577"/>
      <c r="F1347" s="577"/>
      <c r="G1347" s="577"/>
      <c r="H1347" s="577"/>
      <c r="I1347" s="577"/>
      <c r="J1347" s="513"/>
    </row>
    <row r="1348" customHeight="1" spans="4:10">
      <c r="D1348" s="577"/>
      <c r="E1348" s="577"/>
      <c r="F1348" s="577"/>
      <c r="G1348" s="577"/>
      <c r="H1348" s="577"/>
      <c r="I1348" s="577"/>
      <c r="J1348" s="513"/>
    </row>
    <row r="1349" customHeight="1" spans="4:10">
      <c r="D1349" s="577"/>
      <c r="E1349" s="577"/>
      <c r="F1349" s="577"/>
      <c r="G1349" s="577"/>
      <c r="H1349" s="577"/>
      <c r="I1349" s="577"/>
      <c r="J1349" s="513"/>
    </row>
    <row r="1350" customHeight="1" spans="4:10">
      <c r="D1350" s="577"/>
      <c r="E1350" s="577"/>
      <c r="F1350" s="577"/>
      <c r="G1350" s="577"/>
      <c r="H1350" s="577"/>
      <c r="I1350" s="577"/>
      <c r="J1350" s="513"/>
    </row>
    <row r="1351" customHeight="1" spans="4:10">
      <c r="D1351" s="577"/>
      <c r="E1351" s="577"/>
      <c r="F1351" s="577"/>
      <c r="G1351" s="577"/>
      <c r="H1351" s="577"/>
      <c r="I1351" s="577"/>
      <c r="J1351" s="513"/>
    </row>
    <row r="1352" customHeight="1" spans="4:10">
      <c r="D1352" s="577"/>
      <c r="E1352" s="577"/>
      <c r="F1352" s="577"/>
      <c r="G1352" s="577"/>
      <c r="H1352" s="577"/>
      <c r="I1352" s="577"/>
      <c r="J1352" s="513"/>
    </row>
    <row r="1353" customHeight="1" spans="4:10">
      <c r="D1353" s="577"/>
      <c r="E1353" s="577"/>
      <c r="F1353" s="577"/>
      <c r="G1353" s="577"/>
      <c r="H1353" s="577"/>
      <c r="I1353" s="577"/>
      <c r="J1353" s="513"/>
    </row>
    <row r="1354" customHeight="1" spans="4:10">
      <c r="D1354" s="577"/>
      <c r="E1354" s="577"/>
      <c r="F1354" s="577"/>
      <c r="G1354" s="577"/>
      <c r="H1354" s="577"/>
      <c r="I1354" s="577"/>
      <c r="J1354" s="513"/>
    </row>
    <row r="1355" customHeight="1" spans="4:10">
      <c r="D1355" s="577"/>
      <c r="E1355" s="577"/>
      <c r="F1355" s="577"/>
      <c r="G1355" s="577"/>
      <c r="H1355" s="577"/>
      <c r="I1355" s="577"/>
      <c r="J1355" s="513"/>
    </row>
    <row r="1356" customHeight="1" spans="4:10">
      <c r="D1356" s="577"/>
      <c r="E1356" s="577"/>
      <c r="F1356" s="577"/>
      <c r="G1356" s="577"/>
      <c r="H1356" s="577"/>
      <c r="I1356" s="577"/>
      <c r="J1356" s="513"/>
    </row>
    <row r="1357" customHeight="1" spans="4:10">
      <c r="D1357" s="577"/>
      <c r="E1357" s="577"/>
      <c r="F1357" s="577"/>
      <c r="G1357" s="577"/>
      <c r="H1357" s="577"/>
      <c r="I1357" s="577"/>
      <c r="J1357" s="513"/>
    </row>
    <row r="1358" customHeight="1" spans="4:10">
      <c r="D1358" s="577"/>
      <c r="E1358" s="577"/>
      <c r="F1358" s="577"/>
      <c r="G1358" s="577"/>
      <c r="H1358" s="577"/>
      <c r="I1358" s="577"/>
      <c r="J1358" s="513"/>
    </row>
    <row r="1359" customHeight="1" spans="4:10">
      <c r="D1359" s="577"/>
      <c r="E1359" s="577"/>
      <c r="F1359" s="577"/>
      <c r="G1359" s="577"/>
      <c r="H1359" s="577"/>
      <c r="I1359" s="577"/>
      <c r="J1359" s="513"/>
    </row>
    <row r="1360" customHeight="1" spans="4:10">
      <c r="D1360" s="577"/>
      <c r="E1360" s="577"/>
      <c r="F1360" s="577"/>
      <c r="G1360" s="577"/>
      <c r="H1360" s="577"/>
      <c r="I1360" s="577"/>
      <c r="J1360" s="513"/>
    </row>
    <row r="1361" customHeight="1" spans="4:10">
      <c r="D1361" s="577"/>
      <c r="E1361" s="577"/>
      <c r="F1361" s="577"/>
      <c r="G1361" s="577"/>
      <c r="H1361" s="577"/>
      <c r="I1361" s="577"/>
      <c r="J1361" s="513"/>
    </row>
    <row r="1362" customHeight="1" spans="4:10">
      <c r="D1362" s="577"/>
      <c r="E1362" s="577"/>
      <c r="F1362" s="577"/>
      <c r="G1362" s="577"/>
      <c r="H1362" s="577"/>
      <c r="I1362" s="577"/>
      <c r="J1362" s="513"/>
    </row>
    <row r="1363" customHeight="1" spans="4:10">
      <c r="D1363" s="577"/>
      <c r="E1363" s="577"/>
      <c r="F1363" s="577"/>
      <c r="G1363" s="577"/>
      <c r="H1363" s="577"/>
      <c r="I1363" s="577"/>
      <c r="J1363" s="513"/>
    </row>
  </sheetData>
  <protectedRanges>
    <protectedRange sqref="G51:G52" name="区域7"/>
    <protectedRange sqref="O37:O84" name="区域6"/>
    <protectedRange sqref="G54:G80" name="区域5"/>
    <protectedRange sqref="G38:G49" name="区域4"/>
    <protectedRange sqref="D25:G29" name="区域1"/>
    <protectedRange sqref="D18:G23" name="区域2"/>
    <protectedRange sqref="O5:O32" name="区域3"/>
  </protectedRanges>
  <mergeCells count="4">
    <mergeCell ref="A1:O1"/>
    <mergeCell ref="A2:O2"/>
    <mergeCell ref="A3:O3"/>
    <mergeCell ref="A34:O34"/>
  </mergeCells>
  <printOptions horizontalCentered="1"/>
  <pageMargins left="0.905511811023622" right="0.708661417322835" top="0.748031496062992" bottom="0.748031496062992" header="0.196850393700787" footer="0.236220472440945"/>
  <pageSetup paperSize="8" scale="43" firstPageNumber="16" fitToHeight="0" orientation="portrait" useFirstPageNumber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workbookViewId="0">
      <selection activeCell="H25" sqref="H25"/>
    </sheetView>
  </sheetViews>
  <sheetFormatPr defaultColWidth="9" defaultRowHeight="14.25" outlineLevelCol="6"/>
  <cols>
    <col min="1" max="1" width="37.125" style="424" customWidth="1"/>
    <col min="2" max="2" width="18.125" style="425" customWidth="1"/>
    <col min="3" max="3" width="18.125" style="426" customWidth="1"/>
    <col min="4" max="4" width="18.125" style="427" customWidth="1"/>
    <col min="5" max="5" width="15.25" style="428" customWidth="1"/>
    <col min="6" max="6" width="36.5" style="429" customWidth="1"/>
    <col min="7" max="7" width="9" style="429"/>
    <col min="8" max="16384" width="9" style="430"/>
  </cols>
  <sheetData>
    <row r="1" spans="1:3">
      <c r="A1" s="431" t="s">
        <v>128</v>
      </c>
      <c r="C1" s="432"/>
    </row>
    <row r="2" ht="22.5" spans="1:6">
      <c r="A2" s="433" t="s">
        <v>129</v>
      </c>
      <c r="B2" s="433"/>
      <c r="C2" s="433"/>
      <c r="D2" s="433"/>
      <c r="E2" s="433"/>
      <c r="F2" s="433"/>
    </row>
    <row r="3" s="417" customFormat="1" ht="15" spans="1:7">
      <c r="A3" s="434"/>
      <c r="B3" s="435"/>
      <c r="C3" s="436"/>
      <c r="D3" s="437"/>
      <c r="E3" s="438"/>
      <c r="F3" s="439" t="s">
        <v>2</v>
      </c>
      <c r="G3" s="424"/>
    </row>
    <row r="4" s="418" customFormat="1" ht="15" spans="1:6">
      <c r="A4" s="440" t="s">
        <v>3</v>
      </c>
      <c r="B4" s="441" t="s">
        <v>130</v>
      </c>
      <c r="C4" s="441" t="s">
        <v>131</v>
      </c>
      <c r="D4" s="442" t="s">
        <v>132</v>
      </c>
      <c r="E4" s="443" t="s">
        <v>133</v>
      </c>
      <c r="F4" s="444" t="s">
        <v>134</v>
      </c>
    </row>
    <row r="5" s="418" customFormat="1" ht="15" spans="1:6">
      <c r="A5" s="445"/>
      <c r="B5" s="446" t="s">
        <v>135</v>
      </c>
      <c r="C5" s="447" t="s">
        <v>136</v>
      </c>
      <c r="D5" s="446" t="s">
        <v>135</v>
      </c>
      <c r="E5" s="448"/>
      <c r="F5" s="449"/>
    </row>
    <row r="6" s="419" customFormat="1" ht="22.5" customHeight="1" spans="1:6">
      <c r="A6" s="450" t="s">
        <v>137</v>
      </c>
      <c r="B6" s="451" t="e">
        <f>B7+B19</f>
        <v>#REF!</v>
      </c>
      <c r="C6" s="451" t="e">
        <f>C7+C19</f>
        <v>#REF!</v>
      </c>
      <c r="D6" s="451" t="e">
        <f>D7+D19</f>
        <v>#REF!</v>
      </c>
      <c r="E6" s="452" t="e">
        <f>D6/C6-1</f>
        <v>#REF!</v>
      </c>
      <c r="F6" s="453"/>
    </row>
    <row r="7" s="420" customFormat="1" ht="18.75" spans="1:6">
      <c r="A7" s="454" t="s">
        <v>138</v>
      </c>
      <c r="B7" s="455" t="e">
        <f>SUM(B8:B18)</f>
        <v>#REF!</v>
      </c>
      <c r="C7" s="455" t="e">
        <f>SUM(C8:C18)</f>
        <v>#REF!</v>
      </c>
      <c r="D7" s="455" t="e">
        <f>SUM(D8:D18)</f>
        <v>#REF!</v>
      </c>
      <c r="E7" s="456" t="e">
        <f>D7/C7-1</f>
        <v>#REF!</v>
      </c>
      <c r="F7" s="457"/>
    </row>
    <row r="8" s="421" customFormat="1" ht="18.75" spans="1:6">
      <c r="A8" s="458" t="s">
        <v>139</v>
      </c>
      <c r="B8" s="459" t="e">
        <f>#REF!</f>
        <v>#REF!</v>
      </c>
      <c r="C8" s="460" t="e">
        <f>#REF!</f>
        <v>#REF!</v>
      </c>
      <c r="D8" s="460" t="e">
        <f>#REF!</f>
        <v>#REF!</v>
      </c>
      <c r="E8" s="461"/>
      <c r="F8" s="462"/>
    </row>
    <row r="9" s="421" customFormat="1" ht="18.75" hidden="1" spans="1:6">
      <c r="A9" s="458" t="s">
        <v>140</v>
      </c>
      <c r="B9" s="459">
        <v>122.675</v>
      </c>
      <c r="C9" s="460" t="e">
        <f>'税收预计情况（税收数据从此表引入）'!#REF!</f>
        <v>#REF!</v>
      </c>
      <c r="D9" s="460" t="e">
        <f>'税收预计情况（税收数据从此表引入）'!#REF!</f>
        <v>#REF!</v>
      </c>
      <c r="E9" s="463"/>
      <c r="F9" s="464"/>
    </row>
    <row r="10" s="421" customFormat="1" ht="18.75" spans="1:6">
      <c r="A10" s="458" t="s">
        <v>141</v>
      </c>
      <c r="B10" s="459" t="e">
        <f>#REF!</f>
        <v>#REF!</v>
      </c>
      <c r="C10" s="460" t="e">
        <f>#REF!</f>
        <v>#REF!</v>
      </c>
      <c r="D10" s="460" t="e">
        <f>#REF!</f>
        <v>#REF!</v>
      </c>
      <c r="E10" s="463"/>
      <c r="F10" s="464"/>
    </row>
    <row r="11" s="421" customFormat="1" ht="18.75" spans="1:6">
      <c r="A11" s="458" t="s">
        <v>142</v>
      </c>
      <c r="B11" s="459" t="e">
        <f>#REF!</f>
        <v>#REF!</v>
      </c>
      <c r="C11" s="460" t="e">
        <f>#REF!</f>
        <v>#REF!</v>
      </c>
      <c r="D11" s="460" t="e">
        <f>#REF!</f>
        <v>#REF!</v>
      </c>
      <c r="E11" s="463"/>
      <c r="F11" s="464"/>
    </row>
    <row r="12" s="421" customFormat="1" ht="18.75" spans="1:7">
      <c r="A12" s="458" t="s">
        <v>143</v>
      </c>
      <c r="B12" s="459" t="e">
        <f>#REF!</f>
        <v>#REF!</v>
      </c>
      <c r="C12" s="460" t="e">
        <f>#REF!</f>
        <v>#REF!</v>
      </c>
      <c r="D12" s="460" t="e">
        <f>#REF!</f>
        <v>#REF!</v>
      </c>
      <c r="E12" s="463"/>
      <c r="F12" s="464"/>
      <c r="G12" s="465"/>
    </row>
    <row r="13" s="421" customFormat="1" ht="18.75" spans="1:7">
      <c r="A13" s="458" t="s">
        <v>144</v>
      </c>
      <c r="B13" s="459" t="e">
        <f>#REF!</f>
        <v>#REF!</v>
      </c>
      <c r="C13" s="460" t="e">
        <f>#REF!</f>
        <v>#REF!</v>
      </c>
      <c r="D13" s="460" t="e">
        <f>#REF!</f>
        <v>#REF!</v>
      </c>
      <c r="E13" s="463"/>
      <c r="F13" s="453"/>
      <c r="G13" s="465"/>
    </row>
    <row r="14" s="421" customFormat="1" ht="18.75" spans="1:7">
      <c r="A14" s="458" t="s">
        <v>145</v>
      </c>
      <c r="B14" s="459" t="e">
        <f>#REF!</f>
        <v>#REF!</v>
      </c>
      <c r="C14" s="460" t="e">
        <f>#REF!</f>
        <v>#REF!</v>
      </c>
      <c r="D14" s="460" t="e">
        <f>#REF!</f>
        <v>#REF!</v>
      </c>
      <c r="E14" s="463"/>
      <c r="F14" s="464"/>
      <c r="G14" s="465"/>
    </row>
    <row r="15" s="421" customFormat="1" ht="18.75" spans="1:7">
      <c r="A15" s="458" t="s">
        <v>146</v>
      </c>
      <c r="B15" s="459" t="e">
        <f>#REF!</f>
        <v>#REF!</v>
      </c>
      <c r="C15" s="460" t="e">
        <f>#REF!</f>
        <v>#REF!</v>
      </c>
      <c r="D15" s="460" t="e">
        <f>#REF!</f>
        <v>#REF!</v>
      </c>
      <c r="E15" s="463"/>
      <c r="F15" s="464"/>
      <c r="G15" s="465"/>
    </row>
    <row r="16" s="421" customFormat="1" ht="18.75" spans="1:7">
      <c r="A16" s="458" t="s">
        <v>147</v>
      </c>
      <c r="B16" s="459" t="e">
        <f>#REF!</f>
        <v>#REF!</v>
      </c>
      <c r="C16" s="460" t="e">
        <f>#REF!</f>
        <v>#REF!</v>
      </c>
      <c r="D16" s="460" t="e">
        <f>#REF!</f>
        <v>#REF!</v>
      </c>
      <c r="E16" s="463"/>
      <c r="F16" s="464"/>
      <c r="G16" s="465"/>
    </row>
    <row r="17" s="421" customFormat="1" ht="18.75" spans="1:7">
      <c r="A17" s="458" t="s">
        <v>148</v>
      </c>
      <c r="B17" s="459" t="e">
        <f>#REF!</f>
        <v>#REF!</v>
      </c>
      <c r="C17" s="460" t="e">
        <f>#REF!</f>
        <v>#REF!</v>
      </c>
      <c r="D17" s="460" t="e">
        <f>#REF!</f>
        <v>#REF!</v>
      </c>
      <c r="E17" s="463"/>
      <c r="F17" s="464"/>
      <c r="G17" s="465"/>
    </row>
    <row r="18" s="421" customFormat="1" ht="18.75" spans="1:7">
      <c r="A18" s="466" t="s">
        <v>149</v>
      </c>
      <c r="B18" s="467"/>
      <c r="C18" s="468"/>
      <c r="D18" s="468"/>
      <c r="E18" s="463"/>
      <c r="F18" s="464"/>
      <c r="G18" s="465"/>
    </row>
    <row r="19" s="421" customFormat="1" ht="18.75" spans="1:7">
      <c r="A19" s="454" t="s">
        <v>150</v>
      </c>
      <c r="B19" s="455" t="e">
        <f>SUM(B20:B25)</f>
        <v>#REF!</v>
      </c>
      <c r="C19" s="469" t="e">
        <f>SUM(C20:C25)</f>
        <v>#REF!</v>
      </c>
      <c r="D19" s="469" t="e">
        <f>SUM(D20:D25)</f>
        <v>#REF!</v>
      </c>
      <c r="E19" s="456" t="e">
        <f>D19/C19-1</f>
        <v>#REF!</v>
      </c>
      <c r="F19" s="470"/>
      <c r="G19" s="465"/>
    </row>
    <row r="20" s="421" customFormat="1" ht="18.75" spans="1:6">
      <c r="A20" s="458" t="s">
        <v>151</v>
      </c>
      <c r="B20" s="471" t="e">
        <f>#REF!</f>
        <v>#REF!</v>
      </c>
      <c r="C20" s="472" t="e">
        <f>#REF!</f>
        <v>#REF!</v>
      </c>
      <c r="D20" s="473" t="e">
        <f>#REF!</f>
        <v>#REF!</v>
      </c>
      <c r="E20" s="463"/>
      <c r="F20" s="474"/>
    </row>
    <row r="21" s="421" customFormat="1" ht="18.75" spans="1:6">
      <c r="A21" s="458" t="s">
        <v>152</v>
      </c>
      <c r="B21" s="471" t="e">
        <f>#REF!</f>
        <v>#REF!</v>
      </c>
      <c r="C21" s="475" t="e">
        <f>#REF!</f>
        <v>#REF!</v>
      </c>
      <c r="D21" s="473" t="e">
        <f>#REF!</f>
        <v>#REF!</v>
      </c>
      <c r="E21" s="463"/>
      <c r="F21" s="453"/>
    </row>
    <row r="22" s="421" customFormat="1" ht="18.75" spans="1:6">
      <c r="A22" s="458" t="s">
        <v>153</v>
      </c>
      <c r="B22" s="471" t="e">
        <f>#REF!</f>
        <v>#REF!</v>
      </c>
      <c r="C22" s="473" t="e">
        <f>#REF!</f>
        <v>#REF!</v>
      </c>
      <c r="D22" s="473" t="e">
        <f>#REF!</f>
        <v>#REF!</v>
      </c>
      <c r="E22" s="463"/>
      <c r="F22" s="453"/>
    </row>
    <row r="23" s="421" customFormat="1" ht="18.75" spans="1:6">
      <c r="A23" s="458" t="s">
        <v>154</v>
      </c>
      <c r="B23" s="471" t="e">
        <f>#REF!</f>
        <v>#REF!</v>
      </c>
      <c r="C23" s="476" t="e">
        <f>#REF!</f>
        <v>#REF!</v>
      </c>
      <c r="D23" s="473" t="e">
        <f>#REF!</f>
        <v>#REF!</v>
      </c>
      <c r="E23" s="463"/>
      <c r="F23" s="453"/>
    </row>
    <row r="24" s="421" customFormat="1" ht="18.75" spans="1:6">
      <c r="A24" s="458" t="s">
        <v>155</v>
      </c>
      <c r="B24" s="471" t="e">
        <f>#REF!</f>
        <v>#REF!</v>
      </c>
      <c r="C24" s="475" t="e">
        <f>#REF!</f>
        <v>#REF!</v>
      </c>
      <c r="D24" s="473" t="e">
        <f>#REF!</f>
        <v>#REF!</v>
      </c>
      <c r="E24" s="463"/>
      <c r="F24" s="453"/>
    </row>
    <row r="25" s="421" customFormat="1" ht="18.75" spans="1:6">
      <c r="A25" s="458" t="s">
        <v>156</v>
      </c>
      <c r="B25" s="471" t="e">
        <f>#REF!</f>
        <v>#REF!</v>
      </c>
      <c r="C25" s="475" t="e">
        <f>#REF!</f>
        <v>#REF!</v>
      </c>
      <c r="D25" s="473" t="e">
        <f>#REF!</f>
        <v>#REF!</v>
      </c>
      <c r="E25" s="477"/>
      <c r="F25" s="478"/>
    </row>
    <row r="26" s="422" customFormat="1" ht="15" spans="1:6">
      <c r="A26" s="479" t="s">
        <v>157</v>
      </c>
      <c r="B26" s="480" t="e">
        <f>#REF!</f>
        <v>#REF!</v>
      </c>
      <c r="C26" s="480" t="e">
        <f>#REF!</f>
        <v>#REF!</v>
      </c>
      <c r="D26" s="451" t="e">
        <f>#REF!</f>
        <v>#REF!</v>
      </c>
      <c r="E26" s="452" t="e">
        <f>D26/C26-1</f>
        <v>#REF!</v>
      </c>
      <c r="F26" s="481"/>
    </row>
    <row r="27" s="422" customFormat="1" ht="15" spans="1:6">
      <c r="A27" s="479" t="s">
        <v>158</v>
      </c>
      <c r="B27" s="482" t="e">
        <f>#REF!</f>
        <v>#REF!</v>
      </c>
      <c r="C27" s="482" t="e">
        <f>#REF!</f>
        <v>#REF!</v>
      </c>
      <c r="D27" s="483" t="e">
        <f>#REF!</f>
        <v>#REF!</v>
      </c>
      <c r="E27" s="452" t="e">
        <f>D27/C27-1</f>
        <v>#REF!</v>
      </c>
      <c r="F27" s="484"/>
    </row>
    <row r="28" s="423" customFormat="1" ht="16.5" spans="1:6">
      <c r="A28" s="695" t="s">
        <v>159</v>
      </c>
      <c r="B28" s="480" t="e">
        <f>#REF!</f>
        <v>#REF!</v>
      </c>
      <c r="C28" s="480" t="e">
        <f>#REF!</f>
        <v>#REF!</v>
      </c>
      <c r="D28" s="451" t="e">
        <f>#REF!</f>
        <v>#REF!</v>
      </c>
      <c r="E28" s="486">
        <v>-0.049</v>
      </c>
      <c r="F28" s="487"/>
    </row>
    <row r="29" s="423" customFormat="1" ht="16.5" spans="1:6">
      <c r="A29" s="485" t="s">
        <v>160</v>
      </c>
      <c r="B29" s="480" t="e">
        <f>#REF!</f>
        <v>#REF!</v>
      </c>
      <c r="C29" s="480" t="e">
        <f>#REF!</f>
        <v>#REF!</v>
      </c>
      <c r="D29" s="451" t="e">
        <f>#REF!</f>
        <v>#REF!</v>
      </c>
      <c r="E29" s="452" t="e">
        <f>D29/C29-1</f>
        <v>#REF!</v>
      </c>
      <c r="F29" s="488"/>
    </row>
    <row r="30" s="423" customFormat="1" ht="17.25" spans="1:6">
      <c r="A30" s="489" t="s">
        <v>161</v>
      </c>
      <c r="B30" s="490" t="e">
        <f>#REF!</f>
        <v>#REF!</v>
      </c>
      <c r="C30" s="490" t="e">
        <f>#REF!</f>
        <v>#REF!</v>
      </c>
      <c r="D30" s="491" t="e">
        <f>#REF!</f>
        <v>#REF!</v>
      </c>
      <c r="E30" s="452" t="e">
        <f>D30/C30-1</f>
        <v>#REF!</v>
      </c>
      <c r="F30" s="492"/>
    </row>
    <row r="31" s="423" customFormat="1" ht="17.25" spans="1:6">
      <c r="A31" s="696" t="s">
        <v>162</v>
      </c>
      <c r="B31" s="494" t="e">
        <f>B6+B26+B27+B28+B29+B30</f>
        <v>#REF!</v>
      </c>
      <c r="C31" s="494" t="e">
        <f t="shared" ref="C31:D31" si="0">C6+C26+C27+C28+C29+C30</f>
        <v>#REF!</v>
      </c>
      <c r="D31" s="494" t="e">
        <f t="shared" si="0"/>
        <v>#REF!</v>
      </c>
      <c r="E31" s="495" t="e">
        <f>D31/C31-1</f>
        <v>#REF!</v>
      </c>
      <c r="F31" s="496"/>
    </row>
    <row r="32" spans="1:7">
      <c r="A32" s="497"/>
      <c r="B32" s="432" t="s">
        <v>163</v>
      </c>
      <c r="C32" s="432"/>
      <c r="E32" s="498"/>
      <c r="F32" s="499"/>
      <c r="G32" s="500"/>
    </row>
    <row r="33" spans="6:7">
      <c r="F33" s="501"/>
      <c r="G33" s="500"/>
    </row>
    <row r="34" spans="6:7">
      <c r="F34" s="501"/>
      <c r="G34" s="500"/>
    </row>
    <row r="35" spans="7:7">
      <c r="G35" s="500"/>
    </row>
    <row r="36" spans="7:7">
      <c r="G36" s="500"/>
    </row>
    <row r="37" spans="7:7">
      <c r="G37" s="500"/>
    </row>
    <row r="38" spans="7:7">
      <c r="G38" s="500"/>
    </row>
    <row r="39" spans="7:7">
      <c r="G39" s="500"/>
    </row>
    <row r="40" spans="7:7">
      <c r="G40" s="500"/>
    </row>
    <row r="41" spans="7:7">
      <c r="G41" s="500"/>
    </row>
    <row r="42" spans="7:7">
      <c r="G42" s="500"/>
    </row>
    <row r="43" spans="7:7">
      <c r="G43" s="500"/>
    </row>
    <row r="44" spans="7:7">
      <c r="G44" s="500"/>
    </row>
    <row r="45" spans="7:7">
      <c r="G45" s="500"/>
    </row>
    <row r="46" spans="7:7">
      <c r="G46" s="500"/>
    </row>
    <row r="47" spans="7:7">
      <c r="G47" s="500"/>
    </row>
    <row r="48" spans="7:7">
      <c r="G48" s="500"/>
    </row>
    <row r="49" spans="7:7">
      <c r="G49" s="500"/>
    </row>
    <row r="50" spans="7:7">
      <c r="G50" s="500"/>
    </row>
    <row r="51" spans="7:7">
      <c r="G51" s="500"/>
    </row>
    <row r="52" spans="7:7">
      <c r="G52" s="500"/>
    </row>
    <row r="53" spans="7:7">
      <c r="G53" s="500"/>
    </row>
    <row r="54" spans="7:7">
      <c r="G54" s="500"/>
    </row>
    <row r="55" spans="7:7">
      <c r="G55" s="500"/>
    </row>
    <row r="56" spans="7:7">
      <c r="G56" s="500"/>
    </row>
    <row r="57" spans="7:7">
      <c r="G57" s="500"/>
    </row>
    <row r="58" spans="7:7">
      <c r="G58" s="500"/>
    </row>
    <row r="59" spans="7:7">
      <c r="G59" s="500"/>
    </row>
    <row r="60" spans="1:1">
      <c r="A60" s="502"/>
    </row>
    <row r="61" spans="1:1">
      <c r="A61" s="502"/>
    </row>
    <row r="62" spans="1:1">
      <c r="A62" s="502"/>
    </row>
    <row r="63" spans="1:1">
      <c r="A63" s="502"/>
    </row>
    <row r="64" spans="1:1">
      <c r="A64" s="502"/>
    </row>
    <row r="65" spans="1:1">
      <c r="A65" s="502"/>
    </row>
    <row r="66" spans="1:1">
      <c r="A66" s="502"/>
    </row>
    <row r="67" spans="1:1">
      <c r="A67" s="502"/>
    </row>
    <row r="68" spans="1:1">
      <c r="A68" s="502"/>
    </row>
    <row r="69" spans="1:1">
      <c r="A69" s="502"/>
    </row>
    <row r="70" spans="1:1">
      <c r="A70" s="502"/>
    </row>
    <row r="71" spans="1:1">
      <c r="A71" s="502"/>
    </row>
    <row r="72" spans="1:1">
      <c r="A72" s="502"/>
    </row>
    <row r="73" spans="1:1">
      <c r="A73" s="502"/>
    </row>
    <row r="74" spans="1:1">
      <c r="A74" s="502"/>
    </row>
    <row r="75" spans="1:1">
      <c r="A75" s="502"/>
    </row>
    <row r="76" spans="1:1">
      <c r="A76" s="502"/>
    </row>
    <row r="77" spans="1:1">
      <c r="A77" s="502"/>
    </row>
    <row r="78" spans="1:1">
      <c r="A78" s="502"/>
    </row>
    <row r="79" spans="1:1">
      <c r="A79" s="502"/>
    </row>
    <row r="80" spans="1:1">
      <c r="A80" s="502"/>
    </row>
    <row r="81" spans="1:1">
      <c r="A81" s="502"/>
    </row>
    <row r="82" spans="1:1">
      <c r="A82" s="502"/>
    </row>
    <row r="83" spans="1:1">
      <c r="A83" s="502"/>
    </row>
    <row r="84" spans="1:1">
      <c r="A84" s="502"/>
    </row>
    <row r="85" spans="1:1">
      <c r="A85" s="502"/>
    </row>
    <row r="86" spans="1:1">
      <c r="A86" s="502"/>
    </row>
    <row r="87" spans="1:1">
      <c r="A87" s="502"/>
    </row>
    <row r="88" spans="1:1">
      <c r="A88" s="502"/>
    </row>
    <row r="89" spans="1:1">
      <c r="A89" s="502"/>
    </row>
    <row r="90" spans="1:1">
      <c r="A90" s="502"/>
    </row>
    <row r="91" spans="1:1">
      <c r="A91" s="502"/>
    </row>
    <row r="92" spans="1:1">
      <c r="A92" s="502"/>
    </row>
    <row r="93" spans="1:1">
      <c r="A93" s="502"/>
    </row>
    <row r="94" spans="1:1">
      <c r="A94" s="502"/>
    </row>
    <row r="95" spans="1:1">
      <c r="A95" s="502"/>
    </row>
    <row r="96" spans="1:1">
      <c r="A96" s="502"/>
    </row>
    <row r="97" spans="1:1">
      <c r="A97" s="502"/>
    </row>
    <row r="98" spans="1:1">
      <c r="A98" s="502"/>
    </row>
    <row r="99" spans="1:1">
      <c r="A99" s="502"/>
    </row>
    <row r="100" spans="1:1">
      <c r="A100" s="502"/>
    </row>
    <row r="101" spans="1:1">
      <c r="A101" s="502"/>
    </row>
    <row r="102" spans="1:1">
      <c r="A102" s="502"/>
    </row>
    <row r="103" spans="1:1">
      <c r="A103" s="502"/>
    </row>
    <row r="104" spans="1:1">
      <c r="A104" s="502"/>
    </row>
    <row r="105" spans="1:1">
      <c r="A105" s="502"/>
    </row>
    <row r="106" spans="1:1">
      <c r="A106" s="502"/>
    </row>
    <row r="107" spans="1:1">
      <c r="A107" s="502"/>
    </row>
    <row r="108" spans="1:1">
      <c r="A108" s="502"/>
    </row>
  </sheetData>
  <sheetProtection password="E80F" sheet="1" objects="1" scenarios="1"/>
  <mergeCells count="5">
    <mergeCell ref="A2:F2"/>
    <mergeCell ref="B32:C32"/>
    <mergeCell ref="A4:A5"/>
    <mergeCell ref="E4:E5"/>
    <mergeCell ref="F4:F5"/>
  </mergeCells>
  <pageMargins left="0.81" right="0.236220472440945" top="0.33" bottom="0.4" header="0.31496062992126" footer="0.31496062992126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75"/>
  <sheetViews>
    <sheetView topLeftCell="C1" workbookViewId="0">
      <selection activeCell="I29" sqref="I29"/>
    </sheetView>
  </sheetViews>
  <sheetFormatPr defaultColWidth="9" defaultRowHeight="14.25"/>
  <cols>
    <col min="1" max="1" width="40.625" style="366" customWidth="1"/>
    <col min="2" max="2" width="27" style="367" customWidth="1"/>
    <col min="3" max="3" width="25.375" style="368" customWidth="1"/>
    <col min="4" max="4" width="23" style="369" customWidth="1"/>
    <col min="5" max="5" width="12.75" style="370" customWidth="1"/>
    <col min="6" max="6" width="37.75" style="360" customWidth="1"/>
    <col min="7" max="7" width="9" style="367"/>
    <col min="8" max="8" width="39.25" style="367" customWidth="1"/>
    <col min="9" max="9" width="15" style="367" customWidth="1"/>
    <col min="10" max="16384" width="9" style="367"/>
  </cols>
  <sheetData>
    <row r="1" ht="20.1" customHeight="1"/>
    <row r="2" ht="20.1" customHeight="1" spans="1:10">
      <c r="A2" s="371" t="s">
        <v>164</v>
      </c>
      <c r="B2" s="372"/>
      <c r="C2" s="372"/>
      <c r="H2" s="371" t="s">
        <v>165</v>
      </c>
      <c r="I2" s="372"/>
      <c r="J2" s="372"/>
    </row>
    <row r="3" ht="20.1" customHeight="1" spans="1:10">
      <c r="A3" s="371"/>
      <c r="B3" s="372"/>
      <c r="C3" s="373" t="s">
        <v>2</v>
      </c>
      <c r="H3" s="371"/>
      <c r="I3" s="372"/>
      <c r="J3" s="373" t="s">
        <v>2</v>
      </c>
    </row>
    <row r="4" ht="20.1" customHeight="1" spans="1:10">
      <c r="A4" s="374" t="s">
        <v>166</v>
      </c>
      <c r="B4" s="375">
        <v>105173.61</v>
      </c>
      <c r="C4" s="376"/>
      <c r="D4" s="369" t="s">
        <v>167</v>
      </c>
      <c r="E4" s="370">
        <f>B4</f>
        <v>105173.61</v>
      </c>
      <c r="F4" s="375">
        <v>105173.61</v>
      </c>
      <c r="H4" s="374" t="s">
        <v>166</v>
      </c>
      <c r="I4" s="375">
        <v>105173.61</v>
      </c>
      <c r="J4" s="376"/>
    </row>
    <row r="5" s="364" customFormat="1" ht="20.1" customHeight="1" spans="1:10">
      <c r="A5" s="377" t="s">
        <v>168</v>
      </c>
      <c r="B5" s="377"/>
      <c r="C5" s="378"/>
      <c r="D5" s="369" t="s">
        <v>169</v>
      </c>
      <c r="E5" s="370">
        <f>B12</f>
        <v>17139.87</v>
      </c>
      <c r="F5" s="377"/>
      <c r="H5" s="377" t="s">
        <v>168</v>
      </c>
      <c r="I5" s="377"/>
      <c r="J5" s="378"/>
    </row>
    <row r="6" s="364" customFormat="1" ht="20.1" customHeight="1" spans="1:10">
      <c r="A6" s="377" t="s">
        <v>170</v>
      </c>
      <c r="B6" s="379">
        <f>'附件3 收入（部分锁定）'!D32</f>
        <v>697010.3855</v>
      </c>
      <c r="C6" s="378"/>
      <c r="D6" s="369" t="s">
        <v>171</v>
      </c>
      <c r="E6" s="370">
        <f>B23+B24</f>
        <v>6550</v>
      </c>
      <c r="F6" s="379">
        <v>697009</v>
      </c>
      <c r="H6" s="377" t="s">
        <v>170</v>
      </c>
      <c r="I6" s="416">
        <v>697031</v>
      </c>
      <c r="J6" s="378"/>
    </row>
    <row r="7" ht="20.1" customHeight="1" spans="1:10">
      <c r="A7" s="377" t="s">
        <v>172</v>
      </c>
      <c r="B7" s="379">
        <v>654871.02</v>
      </c>
      <c r="C7" s="380"/>
      <c r="D7" s="381" t="s">
        <v>173</v>
      </c>
      <c r="E7" s="382">
        <v>0</v>
      </c>
      <c r="F7" s="379">
        <v>654871.02</v>
      </c>
      <c r="H7" s="377" t="s">
        <v>172</v>
      </c>
      <c r="I7" s="416">
        <v>648897</v>
      </c>
      <c r="J7" s="380"/>
    </row>
    <row r="8" ht="20.1" customHeight="1" spans="1:10">
      <c r="A8" s="377" t="s">
        <v>174</v>
      </c>
      <c r="B8" s="379">
        <f>B6-B7</f>
        <v>42139.3655</v>
      </c>
      <c r="C8" s="380"/>
      <c r="D8" s="383"/>
      <c r="E8" s="382">
        <f>E4+E5+E6-E7</f>
        <v>128863.48</v>
      </c>
      <c r="F8" s="379">
        <f>F6-F7</f>
        <v>42137.98</v>
      </c>
      <c r="H8" s="377" t="s">
        <v>174</v>
      </c>
      <c r="I8" s="379">
        <f>I6-I7</f>
        <v>48134</v>
      </c>
      <c r="J8" s="380"/>
    </row>
    <row r="9" ht="20.1" customHeight="1" spans="1:10">
      <c r="A9" s="377" t="s">
        <v>175</v>
      </c>
      <c r="B9" s="379">
        <f>B10+B11+B12</f>
        <v>17140.2555</v>
      </c>
      <c r="C9" s="384"/>
      <c r="D9" s="385"/>
      <c r="E9" s="386"/>
      <c r="F9" s="379">
        <f>F10+F11+F12</f>
        <v>17139.87</v>
      </c>
      <c r="H9" s="377" t="s">
        <v>175</v>
      </c>
      <c r="I9" s="379">
        <f>I10+I11+I12</f>
        <v>17139.5687575584</v>
      </c>
      <c r="J9" s="384"/>
    </row>
    <row r="10" ht="20.1" customHeight="1" spans="1:10">
      <c r="A10" s="377" t="s">
        <v>176</v>
      </c>
      <c r="B10" s="387">
        <f>'附件3 收入（部分锁定）'!D6-'附件3 收入（部分锁定）'!C6</f>
        <v>-9999.76449999999</v>
      </c>
      <c r="C10" s="384"/>
      <c r="D10" s="385"/>
      <c r="E10" s="386"/>
      <c r="F10" s="387">
        <v>-6000</v>
      </c>
      <c r="H10" s="377" t="s">
        <v>176</v>
      </c>
      <c r="I10" s="387">
        <f>'附件3 收入（部分锁定）'!K6-'附件3 收入（部分锁定）'!J6</f>
        <v>-0.164882276323819</v>
      </c>
      <c r="J10" s="384"/>
    </row>
    <row r="11" s="365" customFormat="1" ht="20.1" customHeight="1" spans="1:10">
      <c r="A11" s="377" t="s">
        <v>177</v>
      </c>
      <c r="B11" s="387">
        <f>'附件3 收入（部分锁定）'!D17-'附件3 收入（部分锁定）'!C17</f>
        <v>10000.15</v>
      </c>
      <c r="C11" s="384"/>
      <c r="D11" s="385"/>
      <c r="E11" s="386"/>
      <c r="F11" s="387">
        <v>6000</v>
      </c>
      <c r="H11" s="377" t="s">
        <v>177</v>
      </c>
      <c r="I11" s="387">
        <f>'附件3 收入（部分锁定）'!K17-'附件3 收入（部分锁定）'!J17</f>
        <v>-0.136360165308189</v>
      </c>
      <c r="J11" s="384"/>
    </row>
    <row r="12" s="365" customFormat="1" ht="20.1" customHeight="1" spans="1:10">
      <c r="A12" s="388" t="s">
        <v>178</v>
      </c>
      <c r="B12" s="389">
        <f>17491.32-351.45</f>
        <v>17139.87</v>
      </c>
      <c r="C12" s="380"/>
      <c r="D12" s="390"/>
      <c r="E12" s="386"/>
      <c r="F12" s="389">
        <f>17491.32-351.45</f>
        <v>17139.87</v>
      </c>
      <c r="H12" s="388" t="s">
        <v>178</v>
      </c>
      <c r="I12" s="389">
        <f>17491.32-351.45</f>
        <v>17139.87</v>
      </c>
      <c r="J12" s="380"/>
    </row>
    <row r="13" s="365" customFormat="1" ht="20.1" customHeight="1" spans="1:10">
      <c r="A13" s="391" t="s">
        <v>179</v>
      </c>
      <c r="B13" s="387">
        <v>25000</v>
      </c>
      <c r="C13" s="380"/>
      <c r="D13" s="385"/>
      <c r="E13" s="386"/>
      <c r="F13" s="387">
        <v>25000</v>
      </c>
      <c r="H13" s="391" t="s">
        <v>179</v>
      </c>
      <c r="I13" s="387">
        <v>25000</v>
      </c>
      <c r="J13" s="380"/>
    </row>
    <row r="14" s="365" customFormat="1" ht="20.1" customHeight="1" spans="1:10">
      <c r="A14" s="391" t="s">
        <v>180</v>
      </c>
      <c r="B14" s="387">
        <v>0</v>
      </c>
      <c r="C14" s="380"/>
      <c r="D14" s="385"/>
      <c r="E14" s="386"/>
      <c r="F14" s="387">
        <v>0</v>
      </c>
      <c r="H14" s="391" t="s">
        <v>180</v>
      </c>
      <c r="I14" s="387">
        <v>0</v>
      </c>
      <c r="J14" s="380"/>
    </row>
    <row r="15" s="365" customFormat="1" ht="20.1" customHeight="1" spans="1:10">
      <c r="A15" s="391" t="s">
        <v>181</v>
      </c>
      <c r="B15" s="391">
        <f>B8-B9-B13-B14</f>
        <v>-0.890000000053988</v>
      </c>
      <c r="C15" s="392"/>
      <c r="D15" s="385"/>
      <c r="E15" s="386"/>
      <c r="F15" s="391">
        <f>F8-F9-F13-F14</f>
        <v>-1.89000000001761</v>
      </c>
      <c r="H15" s="391" t="s">
        <v>181</v>
      </c>
      <c r="I15" s="391">
        <f>I8-I9-I13-I14</f>
        <v>5994.43124244163</v>
      </c>
      <c r="J15" s="392"/>
    </row>
    <row r="16" s="365" customFormat="1" ht="20.1" customHeight="1" spans="1:10">
      <c r="A16" s="391"/>
      <c r="B16" s="377"/>
      <c r="C16" s="384"/>
      <c r="D16" s="385"/>
      <c r="E16" s="386"/>
      <c r="F16" s="377"/>
      <c r="H16" s="391"/>
      <c r="I16" s="377"/>
      <c r="J16" s="384"/>
    </row>
    <row r="17" ht="20.1" customHeight="1" spans="1:10">
      <c r="A17" s="393" t="s">
        <v>182</v>
      </c>
      <c r="B17" s="394">
        <f>B21+B25</f>
        <v>23689.3655</v>
      </c>
      <c r="C17" s="395"/>
      <c r="D17" s="385"/>
      <c r="E17" s="386"/>
      <c r="F17" s="394">
        <f>F21+F25</f>
        <v>17137.98</v>
      </c>
      <c r="H17" s="393" t="s">
        <v>182</v>
      </c>
      <c r="I17" s="394">
        <f>I21+I25</f>
        <v>15734</v>
      </c>
      <c r="J17" s="395"/>
    </row>
    <row r="18" ht="20.1" customHeight="1" spans="1:10">
      <c r="A18" s="391" t="s">
        <v>183</v>
      </c>
      <c r="B18" s="377">
        <f>B6-B7</f>
        <v>42139.3655</v>
      </c>
      <c r="C18" s="384"/>
      <c r="E18" s="396"/>
      <c r="F18" s="377">
        <f>F6-F7</f>
        <v>42137.98</v>
      </c>
      <c r="H18" s="391" t="s">
        <v>183</v>
      </c>
      <c r="I18" s="377">
        <f>I6-I7</f>
        <v>48134</v>
      </c>
      <c r="J18" s="384"/>
    </row>
    <row r="19" ht="20.1" customHeight="1" spans="1:10">
      <c r="A19" s="391" t="s">
        <v>184</v>
      </c>
      <c r="B19" s="387">
        <f>B13</f>
        <v>25000</v>
      </c>
      <c r="C19" s="380"/>
      <c r="F19" s="387">
        <f>F13</f>
        <v>25000</v>
      </c>
      <c r="H19" s="391" t="s">
        <v>184</v>
      </c>
      <c r="I19" s="387">
        <v>32400</v>
      </c>
      <c r="J19" s="380"/>
    </row>
    <row r="20" ht="20.1" customHeight="1" spans="1:10">
      <c r="A20" s="377" t="s">
        <v>185</v>
      </c>
      <c r="B20" s="387">
        <v>0</v>
      </c>
      <c r="C20" s="384"/>
      <c r="F20" s="387">
        <v>0</v>
      </c>
      <c r="H20" s="377" t="s">
        <v>185</v>
      </c>
      <c r="I20" s="387">
        <v>0</v>
      </c>
      <c r="J20" s="384"/>
    </row>
    <row r="21" ht="20.1" customHeight="1" spans="1:10">
      <c r="A21" s="377" t="s">
        <v>186</v>
      </c>
      <c r="B21" s="377">
        <f>B18-B19-B20</f>
        <v>17139.3655</v>
      </c>
      <c r="C21" s="380"/>
      <c r="F21" s="377">
        <f>F18-F19-F20</f>
        <v>17137.98</v>
      </c>
      <c r="H21" s="377" t="s">
        <v>186</v>
      </c>
      <c r="I21" s="377">
        <f>I18-I19-I20</f>
        <v>15734</v>
      </c>
      <c r="J21" s="380"/>
    </row>
    <row r="22" ht="20.1" customHeight="1" spans="1:10">
      <c r="A22" s="377" t="s">
        <v>187</v>
      </c>
      <c r="B22" s="377"/>
      <c r="C22" s="397"/>
      <c r="F22" s="377"/>
      <c r="H22" s="377" t="s">
        <v>187</v>
      </c>
      <c r="I22" s="377"/>
      <c r="J22" s="397"/>
    </row>
    <row r="23" ht="20.1" customHeight="1" spans="1:10">
      <c r="A23" s="377" t="s">
        <v>188</v>
      </c>
      <c r="B23" s="391">
        <v>6550</v>
      </c>
      <c r="C23" s="380"/>
      <c r="F23" s="391"/>
      <c r="H23" s="377" t="s">
        <v>188</v>
      </c>
      <c r="I23" s="391"/>
      <c r="J23" s="380"/>
    </row>
    <row r="24" ht="20.1" customHeight="1" spans="1:10">
      <c r="A24" s="377" t="s">
        <v>189</v>
      </c>
      <c r="B24" s="391">
        <v>0</v>
      </c>
      <c r="C24" s="380"/>
      <c r="F24" s="391">
        <v>0</v>
      </c>
      <c r="H24" s="377" t="s">
        <v>189</v>
      </c>
      <c r="I24" s="391">
        <v>0</v>
      </c>
      <c r="J24" s="380"/>
    </row>
    <row r="25" ht="20.1" customHeight="1" spans="1:10">
      <c r="A25" s="377" t="s">
        <v>190</v>
      </c>
      <c r="B25" s="391">
        <f>B23+B24</f>
        <v>6550</v>
      </c>
      <c r="C25" s="397"/>
      <c r="F25" s="391">
        <f>F23+F24</f>
        <v>0</v>
      </c>
      <c r="H25" s="377" t="s">
        <v>190</v>
      </c>
      <c r="I25" s="391">
        <f>I23+I24</f>
        <v>0</v>
      </c>
      <c r="J25" s="397"/>
    </row>
    <row r="26" ht="20.1" customHeight="1" spans="1:10">
      <c r="A26" s="393"/>
      <c r="B26" s="398"/>
      <c r="C26" s="399"/>
      <c r="D26" s="400"/>
      <c r="F26" s="398"/>
      <c r="H26" s="393"/>
      <c r="I26" s="398"/>
      <c r="J26" s="399"/>
    </row>
    <row r="27" ht="20.1" customHeight="1" spans="1:10">
      <c r="A27" s="401" t="s">
        <v>191</v>
      </c>
      <c r="B27" s="401">
        <v>0</v>
      </c>
      <c r="C27" s="399"/>
      <c r="F27" s="401">
        <v>0</v>
      </c>
      <c r="H27" s="401" t="s">
        <v>191</v>
      </c>
      <c r="I27" s="401">
        <v>0</v>
      </c>
      <c r="J27" s="399"/>
    </row>
    <row r="28" ht="20.1" customHeight="1" spans="1:10">
      <c r="A28" s="391"/>
      <c r="B28" s="393"/>
      <c r="C28" s="380"/>
      <c r="D28" s="383"/>
      <c r="E28" s="382"/>
      <c r="F28" s="393"/>
      <c r="H28" s="391"/>
      <c r="I28" s="393"/>
      <c r="J28" s="380"/>
    </row>
    <row r="29" ht="20.1" customHeight="1" spans="1:10">
      <c r="A29" s="389" t="s">
        <v>192</v>
      </c>
      <c r="B29" s="393">
        <f>B4+B17-B27</f>
        <v>128862.9755</v>
      </c>
      <c r="C29" s="384">
        <f>B29-30000</f>
        <v>98862.9755</v>
      </c>
      <c r="D29" s="385"/>
      <c r="E29" s="386"/>
      <c r="F29" s="393">
        <f>F4+F17-F27</f>
        <v>122311.59</v>
      </c>
      <c r="H29" s="389" t="s">
        <v>192</v>
      </c>
      <c r="I29" s="393">
        <f>I4+I17-I27</f>
        <v>120907.61</v>
      </c>
      <c r="J29" s="384">
        <f>I29-30000</f>
        <v>90907.61</v>
      </c>
    </row>
    <row r="30" spans="1:5">
      <c r="A30" s="402"/>
      <c r="B30" s="403"/>
      <c r="C30" s="404"/>
      <c r="D30" s="385"/>
      <c r="E30" s="386"/>
    </row>
    <row r="31" spans="1:5">
      <c r="A31" s="405"/>
      <c r="B31" s="403"/>
      <c r="C31" s="406"/>
      <c r="D31" s="385"/>
      <c r="E31" s="386"/>
    </row>
    <row r="32" spans="1:5">
      <c r="A32" s="405"/>
      <c r="B32" s="365"/>
      <c r="C32" s="404"/>
      <c r="D32" s="385"/>
      <c r="E32" s="386"/>
    </row>
    <row r="33" spans="1:5">
      <c r="A33" s="402"/>
      <c r="C33" s="404"/>
      <c r="D33" s="385"/>
      <c r="E33" s="386"/>
    </row>
    <row r="34" spans="1:5">
      <c r="A34" s="402"/>
      <c r="C34" s="404"/>
      <c r="E34" s="396"/>
    </row>
    <row r="35" spans="1:3">
      <c r="A35" s="405"/>
      <c r="B35" s="403"/>
      <c r="C35" s="407"/>
    </row>
    <row r="36" spans="3:3">
      <c r="C36" s="404"/>
    </row>
    <row r="37" spans="3:3">
      <c r="C37" s="404"/>
    </row>
    <row r="38" spans="1:3">
      <c r="A38" s="405"/>
      <c r="B38" s="408"/>
      <c r="C38" s="407"/>
    </row>
    <row r="40" spans="4:6">
      <c r="D40" s="385"/>
      <c r="E40" s="409"/>
      <c r="F40" s="410"/>
    </row>
    <row r="42" ht="16.5" customHeight="1" spans="1:4">
      <c r="A42" s="411"/>
      <c r="B42" s="412"/>
      <c r="D42" s="400"/>
    </row>
    <row r="43" spans="1:4">
      <c r="A43" s="409"/>
      <c r="B43" s="385"/>
      <c r="D43" s="385"/>
    </row>
    <row r="44" spans="1:6">
      <c r="A44" s="409"/>
      <c r="B44" s="385"/>
      <c r="F44" s="413"/>
    </row>
    <row r="45" spans="1:2">
      <c r="A45" s="409"/>
      <c r="B45" s="385"/>
    </row>
    <row r="46" spans="1:2">
      <c r="A46" s="409"/>
      <c r="B46" s="385"/>
    </row>
    <row r="47" spans="1:2">
      <c r="A47" s="409"/>
      <c r="B47" s="385"/>
    </row>
    <row r="48" spans="1:5">
      <c r="A48" s="409"/>
      <c r="B48" s="385"/>
      <c r="E48" s="414"/>
    </row>
    <row r="49" spans="1:2">
      <c r="A49" s="409"/>
      <c r="B49" s="385"/>
    </row>
    <row r="50" spans="1:2">
      <c r="A50" s="409"/>
      <c r="B50" s="385"/>
    </row>
    <row r="51" spans="1:2">
      <c r="A51" s="409"/>
      <c r="B51" s="385"/>
    </row>
    <row r="52" spans="1:2">
      <c r="A52" s="409"/>
      <c r="B52" s="385"/>
    </row>
    <row r="53" spans="1:2">
      <c r="A53" s="409"/>
      <c r="B53" s="385"/>
    </row>
    <row r="54" spans="1:2">
      <c r="A54" s="411"/>
      <c r="B54" s="415"/>
    </row>
    <row r="55" spans="1:2">
      <c r="A55" s="411"/>
      <c r="B55" s="415"/>
    </row>
    <row r="56" spans="1:2">
      <c r="A56" s="411"/>
      <c r="B56" s="385"/>
    </row>
    <row r="57" spans="1:2">
      <c r="A57" s="409"/>
      <c r="B57" s="385"/>
    </row>
    <row r="58" s="365" customFormat="1" spans="1:6">
      <c r="A58" s="409"/>
      <c r="B58" s="385"/>
      <c r="C58" s="368"/>
      <c r="D58" s="369"/>
      <c r="E58" s="370"/>
      <c r="F58" s="360"/>
    </row>
    <row r="59" spans="1:2">
      <c r="A59" s="409"/>
      <c r="B59" s="385"/>
    </row>
    <row r="60" ht="47.25" customHeight="1" spans="1:2">
      <c r="A60" s="409"/>
      <c r="B60" s="410"/>
    </row>
    <row r="61" spans="1:2">
      <c r="A61" s="409"/>
      <c r="B61" s="410"/>
    </row>
    <row r="62" spans="1:2">
      <c r="A62" s="409"/>
      <c r="B62" s="385"/>
    </row>
    <row r="63" spans="1:2">
      <c r="A63" s="409"/>
      <c r="B63" s="385"/>
    </row>
    <row r="64" spans="1:2">
      <c r="A64" s="409"/>
      <c r="B64" s="385"/>
    </row>
    <row r="65" spans="1:2">
      <c r="A65" s="409"/>
      <c r="B65" s="385"/>
    </row>
    <row r="66" spans="1:2">
      <c r="A66" s="409"/>
      <c r="B66" s="385"/>
    </row>
    <row r="67" spans="1:2">
      <c r="A67" s="409"/>
      <c r="B67" s="385"/>
    </row>
    <row r="68" spans="1:2">
      <c r="A68" s="409"/>
      <c r="B68" s="385"/>
    </row>
    <row r="69" spans="1:2">
      <c r="A69" s="409"/>
      <c r="B69" s="385"/>
    </row>
    <row r="70" spans="1:2">
      <c r="A70" s="409"/>
      <c r="B70" s="385"/>
    </row>
    <row r="71" spans="1:2">
      <c r="A71" s="409"/>
      <c r="B71" s="410"/>
    </row>
    <row r="72" spans="1:2">
      <c r="A72" s="409"/>
      <c r="B72" s="385"/>
    </row>
    <row r="73" spans="1:2">
      <c r="A73" s="409"/>
      <c r="B73" s="385"/>
    </row>
    <row r="74" spans="1:2">
      <c r="A74" s="409"/>
      <c r="B74" s="385"/>
    </row>
    <row r="75" spans="1:2">
      <c r="A75" s="409"/>
      <c r="B75" s="385"/>
    </row>
  </sheetData>
  <mergeCells count="2">
    <mergeCell ref="A2:C2"/>
    <mergeCell ref="H2:J2"/>
  </mergeCells>
  <pageMargins left="0.708661417322835" right="0.708661417322835" top="0.748031496062992" bottom="0.748031496062992" header="0.31496062992126" footer="0.31496062992126"/>
  <pageSetup paperSize="9" scale="3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1"/>
  <sheetViews>
    <sheetView workbookViewId="0">
      <selection activeCell="J12" sqref="J12"/>
    </sheetView>
  </sheetViews>
  <sheetFormatPr defaultColWidth="9" defaultRowHeight="14.25"/>
  <cols>
    <col min="1" max="1" width="26.125" customWidth="1"/>
    <col min="2" max="2" width="14.75" customWidth="1"/>
    <col min="3" max="3" width="17.125" customWidth="1"/>
    <col min="4" max="4" width="10.625" customWidth="1"/>
    <col min="5" max="6" width="18.375" style="304" customWidth="1"/>
    <col min="7" max="7" width="20" style="304" customWidth="1"/>
    <col min="8" max="8" width="17.125" customWidth="1"/>
    <col min="9" max="9" width="23.375" customWidth="1"/>
    <col min="10" max="10" width="18.875" style="4" customWidth="1"/>
    <col min="11" max="11" width="13.125" style="4" customWidth="1"/>
    <col min="12" max="12" width="13.75" style="305" customWidth="1"/>
    <col min="13" max="13" width="12.875" style="306" customWidth="1"/>
    <col min="14" max="14" width="77.75" customWidth="1"/>
    <col min="15" max="15" width="13.875" customWidth="1"/>
    <col min="16" max="16" width="12.75" customWidth="1"/>
  </cols>
  <sheetData>
    <row r="1" ht="20.1" customHeight="1"/>
    <row r="2" ht="20.1" customHeight="1" spans="1:16">
      <c r="A2" s="307" t="s">
        <v>193</v>
      </c>
      <c r="B2" s="308" t="s">
        <v>194</v>
      </c>
      <c r="C2" s="308" t="s">
        <v>195</v>
      </c>
      <c r="D2" s="309" t="s">
        <v>196</v>
      </c>
      <c r="E2" s="310" t="s">
        <v>197</v>
      </c>
      <c r="F2" s="311"/>
      <c r="G2" s="311" t="s">
        <v>198</v>
      </c>
      <c r="H2" s="308" t="s">
        <v>199</v>
      </c>
      <c r="I2" s="340" t="s">
        <v>200</v>
      </c>
      <c r="J2" s="341" t="s">
        <v>201</v>
      </c>
      <c r="K2" s="342" t="s">
        <v>202</v>
      </c>
      <c r="L2" s="343" t="s">
        <v>17</v>
      </c>
      <c r="N2" s="344"/>
      <c r="O2" s="344"/>
      <c r="P2" s="344"/>
    </row>
    <row r="3" ht="20.1" customHeight="1" spans="1:16">
      <c r="A3" s="312"/>
      <c r="B3" s="138"/>
      <c r="C3" s="138"/>
      <c r="D3" s="313"/>
      <c r="E3" s="310"/>
      <c r="F3" s="314"/>
      <c r="G3" s="314"/>
      <c r="H3" s="138"/>
      <c r="I3" s="345"/>
      <c r="J3" s="341"/>
      <c r="K3" s="346"/>
      <c r="L3" s="312"/>
      <c r="N3" s="347"/>
      <c r="O3" s="347"/>
      <c r="P3" s="347"/>
    </row>
    <row r="4" ht="20.1" customHeight="1" spans="1:16">
      <c r="A4" s="315" t="s">
        <v>203</v>
      </c>
      <c r="B4" s="316">
        <f>SUM(B5:B17)</f>
        <v>234999.503</v>
      </c>
      <c r="C4" s="316">
        <f>C5+SUM(C10:C18)</f>
        <v>509461</v>
      </c>
      <c r="D4" s="317"/>
      <c r="E4" s="318">
        <f t="shared" ref="E4:J4" si="0">E5+SUM(E10:E18)</f>
        <v>193769.2355</v>
      </c>
      <c r="F4" s="318">
        <f t="shared" si="0"/>
        <v>204999.8979</v>
      </c>
      <c r="G4" s="316">
        <f t="shared" si="0"/>
        <v>416000</v>
      </c>
      <c r="H4" s="319">
        <f t="shared" si="0"/>
        <v>539178.77318117</v>
      </c>
      <c r="I4" s="348">
        <f t="shared" si="0"/>
        <v>157339.5</v>
      </c>
      <c r="J4" s="348">
        <f t="shared" si="0"/>
        <v>205000.16</v>
      </c>
      <c r="K4" s="349">
        <f t="shared" ref="K4:K18" si="1">IFERROR(J4/E4-1,0)</f>
        <v>0.0579603076361419</v>
      </c>
      <c r="L4" s="350">
        <f>J4-I4</f>
        <v>47660.66</v>
      </c>
      <c r="N4" s="351"/>
      <c r="O4" s="352"/>
      <c r="P4" s="352"/>
    </row>
    <row r="5" s="303" customFormat="1" ht="20.1" customHeight="1" spans="1:16">
      <c r="A5" s="320" t="s">
        <v>139</v>
      </c>
      <c r="B5" s="321">
        <v>131439.5</v>
      </c>
      <c r="C5" s="316">
        <f>SUM(C6:C9)</f>
        <v>289971</v>
      </c>
      <c r="D5" s="322">
        <f>0.5*0.701</f>
        <v>0.3505</v>
      </c>
      <c r="E5" s="323">
        <f>C5*D5</f>
        <v>101634.8355</v>
      </c>
      <c r="F5" s="323">
        <f>F6+F7+F9</f>
        <v>106816.6275</v>
      </c>
      <c r="G5" s="323">
        <f>SUM(G6:G9)</f>
        <v>194000</v>
      </c>
      <c r="H5" s="319">
        <f>SUM(H6:H9)</f>
        <v>259520</v>
      </c>
      <c r="I5" s="353">
        <f>G5*D5</f>
        <v>67997</v>
      </c>
      <c r="J5" s="353">
        <f>SUM(J6:J9)</f>
        <v>90961.76</v>
      </c>
      <c r="K5" s="354">
        <f t="shared" si="1"/>
        <v>-0.105013949670829</v>
      </c>
      <c r="L5" s="350">
        <f t="shared" ref="L5:L17" si="2">J5-I5</f>
        <v>22964.76</v>
      </c>
      <c r="M5" s="355">
        <f>J5-E5</f>
        <v>-10673.0755</v>
      </c>
      <c r="N5" s="356"/>
      <c r="O5" s="356"/>
      <c r="P5" s="356"/>
    </row>
    <row r="6" s="303" customFormat="1" ht="20.1" customHeight="1" spans="1:16">
      <c r="A6" s="324" t="s">
        <v>204</v>
      </c>
      <c r="B6" s="325"/>
      <c r="C6" s="316">
        <v>-44029</v>
      </c>
      <c r="D6" s="322">
        <f t="shared" ref="D6:D9" si="3">0.5*0.701</f>
        <v>0.3505</v>
      </c>
      <c r="E6" s="323">
        <f>C6*D6</f>
        <v>-15432.1645</v>
      </c>
      <c r="F6" s="323">
        <f>E6</f>
        <v>-15432.1645</v>
      </c>
      <c r="G6" s="326">
        <v>-40000</v>
      </c>
      <c r="H6" s="319">
        <f>J6/D6</f>
        <v>-40000</v>
      </c>
      <c r="I6" s="353">
        <f t="shared" ref="I6:I20" si="4">G6*D6</f>
        <v>-14020</v>
      </c>
      <c r="J6" s="353">
        <f>I6</f>
        <v>-14020</v>
      </c>
      <c r="K6" s="354">
        <f t="shared" si="1"/>
        <v>-0.0915078698130777</v>
      </c>
      <c r="L6" s="350">
        <f t="shared" si="2"/>
        <v>0</v>
      </c>
      <c r="M6" s="355">
        <f>J6-E6</f>
        <v>1412.1645</v>
      </c>
      <c r="N6" s="356"/>
      <c r="O6" s="356"/>
      <c r="P6" s="356"/>
    </row>
    <row r="7" s="303" customFormat="1" ht="20.1" customHeight="1" spans="1:16">
      <c r="A7" s="324" t="s">
        <v>205</v>
      </c>
      <c r="B7" s="325"/>
      <c r="C7" s="316">
        <v>110000</v>
      </c>
      <c r="D7" s="322">
        <f t="shared" si="3"/>
        <v>0.3505</v>
      </c>
      <c r="E7" s="323">
        <f t="shared" ref="E7:E12" si="5">C7*D7</f>
        <v>38555</v>
      </c>
      <c r="F7" s="323">
        <f>E7</f>
        <v>38555</v>
      </c>
      <c r="G7" s="323">
        <v>30000</v>
      </c>
      <c r="H7" s="319">
        <f>J7/D7</f>
        <v>38400</v>
      </c>
      <c r="I7" s="353">
        <f t="shared" si="4"/>
        <v>10515</v>
      </c>
      <c r="J7" s="353">
        <f>I7*1.28</f>
        <v>13459.2</v>
      </c>
      <c r="K7" s="354">
        <f t="shared" si="1"/>
        <v>-0.650909090909091</v>
      </c>
      <c r="L7" s="350">
        <f t="shared" si="2"/>
        <v>2944.2</v>
      </c>
      <c r="M7" s="355">
        <f>J7-E7</f>
        <v>-25095.8</v>
      </c>
      <c r="N7" s="356"/>
      <c r="O7" s="356"/>
      <c r="P7" s="356"/>
    </row>
    <row r="8" s="303" customFormat="1" ht="20.1" customHeight="1" spans="1:14">
      <c r="A8" s="324" t="s">
        <v>206</v>
      </c>
      <c r="B8" s="325"/>
      <c r="C8" s="316"/>
      <c r="D8" s="322">
        <f t="shared" si="3"/>
        <v>0.3505</v>
      </c>
      <c r="E8" s="323">
        <f t="shared" si="5"/>
        <v>0</v>
      </c>
      <c r="F8" s="323"/>
      <c r="G8" s="323"/>
      <c r="H8" s="319">
        <f t="shared" ref="H8:H17" si="6">J8/D8</f>
        <v>0</v>
      </c>
      <c r="I8" s="353">
        <f t="shared" si="4"/>
        <v>0</v>
      </c>
      <c r="J8" s="353">
        <f t="shared" ref="J8:J17" si="7">I8*1.28</f>
        <v>0</v>
      </c>
      <c r="K8" s="354">
        <f t="shared" si="1"/>
        <v>0</v>
      </c>
      <c r="L8" s="350">
        <f t="shared" si="2"/>
        <v>0</v>
      </c>
      <c r="M8" s="355">
        <f t="shared" ref="M8:M20" si="8">J8-E8</f>
        <v>0</v>
      </c>
      <c r="N8" s="356"/>
    </row>
    <row r="9" s="303" customFormat="1" ht="20.1" customHeight="1" spans="1:14">
      <c r="A9" s="324" t="s">
        <v>207</v>
      </c>
      <c r="B9" s="325"/>
      <c r="C9" s="316">
        <v>224000</v>
      </c>
      <c r="D9" s="322">
        <f t="shared" si="3"/>
        <v>0.3505</v>
      </c>
      <c r="E9" s="323">
        <f t="shared" si="5"/>
        <v>78512</v>
      </c>
      <c r="F9" s="323">
        <f>E9*1.066</f>
        <v>83693.792</v>
      </c>
      <c r="G9" s="323">
        <v>204000</v>
      </c>
      <c r="H9" s="319">
        <f t="shared" si="6"/>
        <v>261120</v>
      </c>
      <c r="I9" s="353">
        <f t="shared" si="4"/>
        <v>71502</v>
      </c>
      <c r="J9" s="353">
        <f t="shared" si="7"/>
        <v>91522.56</v>
      </c>
      <c r="K9" s="354">
        <f t="shared" si="1"/>
        <v>0.165714285714286</v>
      </c>
      <c r="L9" s="350">
        <f t="shared" si="2"/>
        <v>20020.56</v>
      </c>
      <c r="M9" s="355">
        <f t="shared" si="8"/>
        <v>13010.56</v>
      </c>
      <c r="N9" s="356"/>
    </row>
    <row r="10" s="303" customFormat="1" ht="20.1" customHeight="1" spans="1:16">
      <c r="A10" s="320" t="s">
        <v>208</v>
      </c>
      <c r="B10" s="321">
        <v>37854</v>
      </c>
      <c r="C10" s="316">
        <v>126900</v>
      </c>
      <c r="D10" s="327">
        <f>0.4*0.701</f>
        <v>0.2804</v>
      </c>
      <c r="E10" s="323">
        <f t="shared" si="5"/>
        <v>35582.76</v>
      </c>
      <c r="F10" s="323">
        <f t="shared" ref="F10:F18" si="9">E10*1.066</f>
        <v>37931.22216</v>
      </c>
      <c r="G10" s="323">
        <v>130000</v>
      </c>
      <c r="H10" s="319">
        <f t="shared" si="6"/>
        <v>166400</v>
      </c>
      <c r="I10" s="353">
        <f t="shared" si="4"/>
        <v>36452</v>
      </c>
      <c r="J10" s="353">
        <f t="shared" si="7"/>
        <v>46658.56</v>
      </c>
      <c r="K10" s="354">
        <f t="shared" si="1"/>
        <v>0.311268715524035</v>
      </c>
      <c r="L10" s="350">
        <f t="shared" si="2"/>
        <v>10206.56</v>
      </c>
      <c r="M10" s="355">
        <f t="shared" si="8"/>
        <v>11075.8</v>
      </c>
      <c r="N10" s="357"/>
      <c r="O10" s="357"/>
      <c r="P10" s="357"/>
    </row>
    <row r="11" s="303" customFormat="1" ht="20.1" customHeight="1" spans="1:16">
      <c r="A11" s="320" t="s">
        <v>209</v>
      </c>
      <c r="B11" s="321">
        <v>8186.9</v>
      </c>
      <c r="C11" s="316">
        <v>24200</v>
      </c>
      <c r="D11" s="327">
        <f>0.4*0.701</f>
        <v>0.2804</v>
      </c>
      <c r="E11" s="323">
        <f t="shared" si="5"/>
        <v>6785.68</v>
      </c>
      <c r="F11" s="323">
        <f t="shared" si="9"/>
        <v>7233.53488</v>
      </c>
      <c r="G11" s="323">
        <v>25000</v>
      </c>
      <c r="H11" s="319">
        <f t="shared" si="6"/>
        <v>30858.7731811698</v>
      </c>
      <c r="I11" s="353">
        <f t="shared" si="4"/>
        <v>7010</v>
      </c>
      <c r="J11" s="353">
        <f>I11*1.28-320</f>
        <v>8652.8</v>
      </c>
      <c r="K11" s="354">
        <f t="shared" si="1"/>
        <v>0.275155916577263</v>
      </c>
      <c r="L11" s="350">
        <f t="shared" si="2"/>
        <v>1642.8</v>
      </c>
      <c r="M11" s="355">
        <f t="shared" si="8"/>
        <v>1867.12</v>
      </c>
      <c r="N11" s="357"/>
      <c r="O11" s="357"/>
      <c r="P11" s="357"/>
    </row>
    <row r="12" s="303" customFormat="1" ht="20.1" customHeight="1" spans="1:16">
      <c r="A12" s="320" t="s">
        <v>210</v>
      </c>
      <c r="B12" s="321">
        <v>23448.315</v>
      </c>
      <c r="C12" s="316">
        <v>20600</v>
      </c>
      <c r="D12" s="327">
        <v>1</v>
      </c>
      <c r="E12" s="323">
        <f t="shared" si="5"/>
        <v>20600</v>
      </c>
      <c r="F12" s="323">
        <f t="shared" si="9"/>
        <v>21959.6</v>
      </c>
      <c r="G12" s="323">
        <v>19000</v>
      </c>
      <c r="H12" s="319">
        <f t="shared" si="6"/>
        <v>24320</v>
      </c>
      <c r="I12" s="353">
        <f t="shared" si="4"/>
        <v>19000</v>
      </c>
      <c r="J12" s="353">
        <f t="shared" si="7"/>
        <v>24320</v>
      </c>
      <c r="K12" s="354">
        <f t="shared" si="1"/>
        <v>0.180582524271845</v>
      </c>
      <c r="L12" s="350">
        <f t="shared" si="2"/>
        <v>5320</v>
      </c>
      <c r="M12" s="355">
        <f t="shared" si="8"/>
        <v>3720</v>
      </c>
      <c r="N12" s="358" t="s">
        <v>211</v>
      </c>
      <c r="O12" s="358"/>
      <c r="P12" s="358"/>
    </row>
    <row r="13" s="303" customFormat="1" ht="20.1" customHeight="1" spans="1:14">
      <c r="A13" s="320" t="s">
        <v>212</v>
      </c>
      <c r="B13" s="321">
        <v>6168.8</v>
      </c>
      <c r="C13" s="316">
        <v>8160</v>
      </c>
      <c r="D13" s="328">
        <v>0.701</v>
      </c>
      <c r="E13" s="323">
        <f t="shared" ref="E13:E18" si="10">C13*D13</f>
        <v>5720.16</v>
      </c>
      <c r="F13" s="323">
        <f t="shared" si="9"/>
        <v>6097.69056</v>
      </c>
      <c r="G13" s="323">
        <v>8500</v>
      </c>
      <c r="H13" s="319">
        <f t="shared" si="6"/>
        <v>10880</v>
      </c>
      <c r="I13" s="353">
        <f t="shared" si="4"/>
        <v>5958.5</v>
      </c>
      <c r="J13" s="353">
        <f t="shared" si="7"/>
        <v>7626.88</v>
      </c>
      <c r="K13" s="354">
        <f t="shared" si="1"/>
        <v>0.333333333333333</v>
      </c>
      <c r="L13" s="350">
        <f t="shared" si="2"/>
        <v>1668.38</v>
      </c>
      <c r="M13" s="355">
        <f t="shared" si="8"/>
        <v>1906.72</v>
      </c>
      <c r="N13" s="357"/>
    </row>
    <row r="14" s="303" customFormat="1" ht="20.1" customHeight="1" spans="1:14">
      <c r="A14" s="320" t="s">
        <v>213</v>
      </c>
      <c r="B14" s="321">
        <v>4000</v>
      </c>
      <c r="C14" s="316">
        <v>3200</v>
      </c>
      <c r="D14" s="328">
        <v>1</v>
      </c>
      <c r="E14" s="323">
        <f t="shared" si="10"/>
        <v>3200</v>
      </c>
      <c r="F14" s="323">
        <f t="shared" si="9"/>
        <v>3411.2</v>
      </c>
      <c r="G14" s="323">
        <v>3500</v>
      </c>
      <c r="H14" s="319">
        <f t="shared" si="6"/>
        <v>4480</v>
      </c>
      <c r="I14" s="353">
        <f t="shared" si="4"/>
        <v>3500</v>
      </c>
      <c r="J14" s="353">
        <f t="shared" si="7"/>
        <v>4480</v>
      </c>
      <c r="K14" s="354">
        <f t="shared" si="1"/>
        <v>0.4</v>
      </c>
      <c r="L14" s="350">
        <f t="shared" si="2"/>
        <v>980</v>
      </c>
      <c r="M14" s="355">
        <f t="shared" si="8"/>
        <v>1280</v>
      </c>
      <c r="N14" s="357"/>
    </row>
    <row r="15" s="303" customFormat="1" ht="20.1" customHeight="1" spans="1:14">
      <c r="A15" s="320" t="s">
        <v>214</v>
      </c>
      <c r="B15" s="321">
        <v>2600</v>
      </c>
      <c r="C15" s="316">
        <v>1600</v>
      </c>
      <c r="D15" s="328">
        <v>1</v>
      </c>
      <c r="E15" s="323">
        <f t="shared" si="10"/>
        <v>1600</v>
      </c>
      <c r="F15" s="323">
        <f t="shared" si="9"/>
        <v>1705.6</v>
      </c>
      <c r="G15" s="323">
        <v>2000</v>
      </c>
      <c r="H15" s="319">
        <f t="shared" si="6"/>
        <v>2560</v>
      </c>
      <c r="I15" s="353">
        <f t="shared" si="4"/>
        <v>2000</v>
      </c>
      <c r="J15" s="353">
        <f t="shared" si="7"/>
        <v>2560</v>
      </c>
      <c r="K15" s="354">
        <f t="shared" si="1"/>
        <v>0.6</v>
      </c>
      <c r="L15" s="350">
        <f t="shared" si="2"/>
        <v>560</v>
      </c>
      <c r="M15" s="355">
        <f t="shared" si="8"/>
        <v>960</v>
      </c>
      <c r="N15" s="357"/>
    </row>
    <row r="16" s="303" customFormat="1" ht="20.1" customHeight="1" spans="1:14">
      <c r="A16" s="320" t="s">
        <v>215</v>
      </c>
      <c r="B16" s="321">
        <v>13590.988</v>
      </c>
      <c r="C16" s="316">
        <v>15700</v>
      </c>
      <c r="D16" s="328">
        <v>0.701</v>
      </c>
      <c r="E16" s="323">
        <f>C16*D16+1962</f>
        <v>12967.7</v>
      </c>
      <c r="F16" s="323">
        <f>E16*1.066-32</f>
        <v>13791.5682</v>
      </c>
      <c r="G16" s="323">
        <v>12000</v>
      </c>
      <c r="H16" s="319">
        <f t="shared" si="6"/>
        <v>15360</v>
      </c>
      <c r="I16" s="353">
        <f t="shared" si="4"/>
        <v>8412</v>
      </c>
      <c r="J16" s="353">
        <f t="shared" si="7"/>
        <v>10767.36</v>
      </c>
      <c r="K16" s="354">
        <f t="shared" si="1"/>
        <v>-0.169678508910601</v>
      </c>
      <c r="L16" s="350">
        <f t="shared" si="2"/>
        <v>2355.36</v>
      </c>
      <c r="M16" s="355">
        <f t="shared" si="8"/>
        <v>-2200.34</v>
      </c>
      <c r="N16" s="357" t="s">
        <v>216</v>
      </c>
    </row>
    <row r="17" s="303" customFormat="1" ht="20.1" customHeight="1" spans="1:14">
      <c r="A17" s="320" t="s">
        <v>217</v>
      </c>
      <c r="B17" s="321">
        <v>7711</v>
      </c>
      <c r="C17" s="316">
        <v>8100</v>
      </c>
      <c r="D17" s="328">
        <v>0.701</v>
      </c>
      <c r="E17" s="323">
        <f t="shared" si="10"/>
        <v>5678.1</v>
      </c>
      <c r="F17" s="323">
        <f t="shared" si="9"/>
        <v>6052.8546</v>
      </c>
      <c r="G17" s="323">
        <v>10000</v>
      </c>
      <c r="H17" s="319">
        <f t="shared" si="6"/>
        <v>12800</v>
      </c>
      <c r="I17" s="353">
        <f t="shared" si="4"/>
        <v>7010</v>
      </c>
      <c r="J17" s="353">
        <f t="shared" si="7"/>
        <v>8972.8</v>
      </c>
      <c r="K17" s="354">
        <f t="shared" si="1"/>
        <v>0.580246913580247</v>
      </c>
      <c r="L17" s="350">
        <f t="shared" si="2"/>
        <v>1962.8</v>
      </c>
      <c r="M17" s="355">
        <f t="shared" si="8"/>
        <v>3294.7</v>
      </c>
      <c r="N17" s="357"/>
    </row>
    <row r="18" s="303" customFormat="1" ht="20.1" customHeight="1" spans="1:14">
      <c r="A18" s="329" t="s">
        <v>218</v>
      </c>
      <c r="B18" s="330">
        <v>0</v>
      </c>
      <c r="C18" s="316">
        <v>11030</v>
      </c>
      <c r="D18" s="331"/>
      <c r="E18" s="323">
        <f t="shared" si="10"/>
        <v>0</v>
      </c>
      <c r="F18" s="323">
        <f t="shared" si="9"/>
        <v>0</v>
      </c>
      <c r="G18" s="323">
        <v>12000</v>
      </c>
      <c r="H18" s="319">
        <v>12000</v>
      </c>
      <c r="I18" s="353">
        <f t="shared" si="4"/>
        <v>0</v>
      </c>
      <c r="J18" s="359"/>
      <c r="K18" s="354">
        <f t="shared" si="1"/>
        <v>0</v>
      </c>
      <c r="L18" s="76"/>
      <c r="M18" s="355">
        <f t="shared" si="8"/>
        <v>0</v>
      </c>
      <c r="N18" s="360"/>
    </row>
    <row r="19" ht="18.75" spans="1:13">
      <c r="A19" s="332" t="s">
        <v>219</v>
      </c>
      <c r="B19" s="333">
        <v>17500</v>
      </c>
      <c r="C19" s="334"/>
      <c r="D19" s="335"/>
      <c r="E19" s="336">
        <v>25000</v>
      </c>
      <c r="F19" s="336"/>
      <c r="G19" s="336"/>
      <c r="H19" s="319"/>
      <c r="I19" s="353">
        <f t="shared" si="4"/>
        <v>0</v>
      </c>
      <c r="J19" s="361"/>
      <c r="K19" s="361"/>
      <c r="L19" s="362"/>
      <c r="M19" s="355">
        <f t="shared" si="8"/>
        <v>-25000</v>
      </c>
    </row>
    <row r="20" ht="18.75" spans="1:13">
      <c r="A20" s="332" t="s">
        <v>220</v>
      </c>
      <c r="B20" s="337">
        <f>B19+B4</f>
        <v>252499.503</v>
      </c>
      <c r="C20" s="338"/>
      <c r="D20" s="338">
        <f>D19+D4</f>
        <v>0</v>
      </c>
      <c r="E20" s="336">
        <f>E19+E4</f>
        <v>218769.2355</v>
      </c>
      <c r="F20" s="336"/>
      <c r="G20" s="336"/>
      <c r="H20" s="338"/>
      <c r="I20" s="353">
        <f t="shared" si="4"/>
        <v>0</v>
      </c>
      <c r="J20" s="363"/>
      <c r="K20" s="363"/>
      <c r="L20" s="362"/>
      <c r="M20" s="355">
        <f t="shared" si="8"/>
        <v>-218769.2355</v>
      </c>
    </row>
    <row r="21" spans="7:7">
      <c r="G21" s="339"/>
    </row>
  </sheetData>
  <mergeCells count="11">
    <mergeCell ref="A2:A3"/>
    <mergeCell ref="B2:B3"/>
    <mergeCell ref="C2:C3"/>
    <mergeCell ref="D2:D3"/>
    <mergeCell ref="E2:E3"/>
    <mergeCell ref="G2:G3"/>
    <mergeCell ref="H2:H3"/>
    <mergeCell ref="I2:I3"/>
    <mergeCell ref="J2:J3"/>
    <mergeCell ref="K2:K3"/>
    <mergeCell ref="L2:L3"/>
  </mergeCells>
  <conditionalFormatting sqref="J19:K19 E19:G19">
    <cfRule type="cellIs" dxfId="0" priority="4" operator="equal">
      <formula>0</formula>
    </cfRule>
  </conditionalFormatting>
  <pageMargins left="0.708661417322835" right="0.708661417322835" top="0.748031496062992" bottom="0.748031496062992" header="0.31496062992126" footer="0.31496062992126"/>
  <pageSetup paperSize="9" scale="4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499984740745262"/>
  </sheetPr>
  <dimension ref="A1:W44"/>
  <sheetViews>
    <sheetView tabSelected="1" zoomScale="85" zoomScaleNormal="85" workbookViewId="0">
      <pane ySplit="5" topLeftCell="A6" activePane="bottomLeft" state="frozen"/>
      <selection/>
      <selection pane="bottomLeft" activeCell="V31" sqref="V31"/>
    </sheetView>
  </sheetViews>
  <sheetFormatPr defaultColWidth="9" defaultRowHeight="14.25"/>
  <cols>
    <col min="1" max="1" width="35.125" style="210" customWidth="1"/>
    <col min="2" max="2" width="10.625" style="211" hidden="1" customWidth="1"/>
    <col min="3" max="4" width="14.625" style="208" hidden="1" customWidth="1"/>
    <col min="5" max="5" width="13.5" style="208" customWidth="1"/>
    <col min="6" max="6" width="15.625" style="208" hidden="1" customWidth="1"/>
    <col min="7" max="8" width="13.875" style="208" hidden="1" customWidth="1"/>
    <col min="9" max="9" width="13.5" style="208" customWidth="1"/>
    <col min="10" max="10" width="16.125" style="208" customWidth="1"/>
    <col min="11" max="11" width="36.625" style="210" customWidth="1"/>
    <col min="12" max="12" width="11.875" style="210" hidden="1" customWidth="1"/>
    <col min="13" max="14" width="14.625" style="208" hidden="1" customWidth="1"/>
    <col min="15" max="15" width="13.5" style="208" customWidth="1"/>
    <col min="16" max="16" width="15.625" style="208" hidden="1" customWidth="1"/>
    <col min="17" max="18" width="13.875" style="208" hidden="1" customWidth="1"/>
    <col min="19" max="19" width="13.5" style="208" customWidth="1"/>
    <col min="20" max="20" width="16.125" style="208" customWidth="1"/>
    <col min="21" max="21" width="29.75" style="212" hidden="1" customWidth="1"/>
    <col min="22" max="22" width="34.375" style="210" customWidth="1"/>
    <col min="23" max="23" width="38.375" style="210" hidden="1" customWidth="1"/>
    <col min="24" max="16384" width="9" style="210"/>
  </cols>
  <sheetData>
    <row r="1" s="207" customFormat="1" ht="20.1" customHeight="1" spans="1:21">
      <c r="A1" s="213" t="s">
        <v>221</v>
      </c>
      <c r="B1" s="214"/>
      <c r="C1" s="215"/>
      <c r="D1" s="216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 t="s">
        <v>163</v>
      </c>
      <c r="P1" s="267"/>
      <c r="Q1" s="267"/>
      <c r="R1" s="267"/>
      <c r="S1" s="267"/>
      <c r="T1" s="267"/>
      <c r="U1" s="286"/>
    </row>
    <row r="2" ht="20.1" customHeight="1" spans="1:21">
      <c r="A2" s="217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68"/>
      <c r="Q2" s="268"/>
      <c r="R2" s="268"/>
      <c r="S2" s="268"/>
      <c r="T2" s="268"/>
      <c r="U2" s="287"/>
    </row>
    <row r="3" s="208" customFormat="1" ht="20.1" customHeight="1" spans="1:21">
      <c r="A3" s="218" t="s">
        <v>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88"/>
    </row>
    <row r="4" s="209" customFormat="1" ht="21.75" hidden="1" customHeight="1" spans="1:21">
      <c r="A4" s="219" t="s">
        <v>223</v>
      </c>
      <c r="B4" s="219"/>
      <c r="C4" s="220"/>
      <c r="D4" s="220"/>
      <c r="E4" s="220"/>
      <c r="F4" s="221"/>
      <c r="G4" s="220"/>
      <c r="H4" s="220"/>
      <c r="I4" s="220"/>
      <c r="J4" s="220"/>
      <c r="K4" s="269" t="s">
        <v>224</v>
      </c>
      <c r="L4" s="270"/>
      <c r="M4" s="270"/>
      <c r="N4" s="270"/>
      <c r="O4" s="270"/>
      <c r="P4" s="271"/>
      <c r="Q4" s="271"/>
      <c r="R4" s="271"/>
      <c r="S4" s="271"/>
      <c r="T4" s="289"/>
      <c r="U4" s="290"/>
    </row>
    <row r="5" s="209" customFormat="1" ht="52" customHeight="1" spans="1:21">
      <c r="A5" s="222" t="s">
        <v>3</v>
      </c>
      <c r="B5" s="223" t="s">
        <v>225</v>
      </c>
      <c r="C5" s="224" t="s">
        <v>4</v>
      </c>
      <c r="D5" s="224" t="s">
        <v>6</v>
      </c>
      <c r="E5" s="224" t="s">
        <v>226</v>
      </c>
      <c r="F5" s="225" t="s">
        <v>227</v>
      </c>
      <c r="G5" s="225" t="s">
        <v>228</v>
      </c>
      <c r="H5" s="225" t="s">
        <v>229</v>
      </c>
      <c r="I5" s="225" t="s">
        <v>230</v>
      </c>
      <c r="J5" s="225" t="s">
        <v>231</v>
      </c>
      <c r="K5" s="222" t="s">
        <v>3</v>
      </c>
      <c r="L5" s="222" t="s">
        <v>225</v>
      </c>
      <c r="M5" s="224" t="s">
        <v>4</v>
      </c>
      <c r="N5" s="224" t="s">
        <v>6</v>
      </c>
      <c r="O5" s="224" t="s">
        <v>232</v>
      </c>
      <c r="P5" s="225" t="s">
        <v>227</v>
      </c>
      <c r="Q5" s="225" t="s">
        <v>228</v>
      </c>
      <c r="R5" s="225" t="s">
        <v>229</v>
      </c>
      <c r="S5" s="225" t="s">
        <v>230</v>
      </c>
      <c r="T5" s="225" t="s">
        <v>231</v>
      </c>
      <c r="U5" s="291" t="s">
        <v>17</v>
      </c>
    </row>
    <row r="6" s="209" customFormat="1" ht="24.95" customHeight="1" spans="1:21">
      <c r="A6" s="226" t="s">
        <v>233</v>
      </c>
      <c r="B6" s="227"/>
      <c r="C6" s="228">
        <f>C7+C8</f>
        <v>30</v>
      </c>
      <c r="D6" s="228">
        <f>D7+D8</f>
        <v>128</v>
      </c>
      <c r="E6" s="229">
        <f>E7+E8</f>
        <v>117</v>
      </c>
      <c r="F6" s="230">
        <f>(E6-C6)/C6</f>
        <v>2.9</v>
      </c>
      <c r="G6" s="230"/>
      <c r="H6" s="230"/>
      <c r="I6" s="229">
        <f>I7+I8</f>
        <v>117</v>
      </c>
      <c r="J6" s="272">
        <f>I6/E6</f>
        <v>1</v>
      </c>
      <c r="K6" s="273" t="s">
        <v>234</v>
      </c>
      <c r="L6" s="273"/>
      <c r="M6" s="229">
        <f>M7+M20</f>
        <v>37273.9</v>
      </c>
      <c r="N6" s="229">
        <f>N7+N20</f>
        <v>37274</v>
      </c>
      <c r="O6" s="229">
        <f>O7+O15</f>
        <v>21148</v>
      </c>
      <c r="P6" s="229">
        <f>P7+P15</f>
        <v>0</v>
      </c>
      <c r="Q6" s="229">
        <f>Q7+Q15</f>
        <v>14000</v>
      </c>
      <c r="R6" s="229">
        <v>0</v>
      </c>
      <c r="S6" s="229">
        <f>S7+S15</f>
        <v>35148</v>
      </c>
      <c r="T6" s="272">
        <f>S6/O6</f>
        <v>1.66200113485909</v>
      </c>
      <c r="U6" s="292"/>
    </row>
    <row r="7" ht="21" customHeight="1" spans="1:21">
      <c r="A7" s="231" t="s">
        <v>235</v>
      </c>
      <c r="B7" s="232"/>
      <c r="C7" s="233">
        <v>30</v>
      </c>
      <c r="D7" s="233">
        <v>52</v>
      </c>
      <c r="E7" s="233">
        <f>'2020年政府性基金预计情况'!F19</f>
        <v>117</v>
      </c>
      <c r="F7" s="233">
        <f>(E7-C7)/C7</f>
        <v>2.9</v>
      </c>
      <c r="G7" s="233"/>
      <c r="H7" s="233"/>
      <c r="I7" s="233">
        <v>117</v>
      </c>
      <c r="J7" s="274">
        <f>I7/E7</f>
        <v>1</v>
      </c>
      <c r="K7" s="231" t="s">
        <v>236</v>
      </c>
      <c r="L7" s="231">
        <v>212</v>
      </c>
      <c r="M7" s="275">
        <f>SUM(M9:M13)</f>
        <v>36436.9</v>
      </c>
      <c r="N7" s="275">
        <f>SUM(N9:N13)</f>
        <v>36437</v>
      </c>
      <c r="O7" s="276">
        <f>O8+O14</f>
        <v>20320</v>
      </c>
      <c r="P7" s="276">
        <f>P8+P14</f>
        <v>0</v>
      </c>
      <c r="Q7" s="276">
        <f>Q8+Q14</f>
        <v>7900</v>
      </c>
      <c r="R7" s="276"/>
      <c r="S7" s="276">
        <f>S8+S14</f>
        <v>28220</v>
      </c>
      <c r="T7" s="274">
        <f t="shared" ref="T7:T11" si="0">S7/O7</f>
        <v>1.38877952755906</v>
      </c>
      <c r="U7" s="293"/>
    </row>
    <row r="8" ht="21" customHeight="1" spans="1:23">
      <c r="A8" s="231" t="s">
        <v>237</v>
      </c>
      <c r="B8" s="232"/>
      <c r="C8" s="233">
        <v>0</v>
      </c>
      <c r="D8" s="233">
        <v>76</v>
      </c>
      <c r="E8" s="233"/>
      <c r="F8" s="233"/>
      <c r="G8" s="233"/>
      <c r="H8" s="233"/>
      <c r="I8" s="233"/>
      <c r="J8" s="277"/>
      <c r="K8" s="231" t="s">
        <v>238</v>
      </c>
      <c r="L8" s="231">
        <v>21208</v>
      </c>
      <c r="M8" s="275"/>
      <c r="N8" s="275"/>
      <c r="O8" s="276">
        <f>SUM(O9:O13)</f>
        <v>20320</v>
      </c>
      <c r="P8" s="276"/>
      <c r="Q8" s="276"/>
      <c r="R8" s="276"/>
      <c r="S8" s="276">
        <f>SUM(S9:S13)</f>
        <v>20320</v>
      </c>
      <c r="T8" s="274">
        <f t="shared" si="0"/>
        <v>1</v>
      </c>
      <c r="U8" s="294" t="s">
        <v>239</v>
      </c>
      <c r="W8" s="295" t="e">
        <f>#REF!</f>
        <v>#REF!</v>
      </c>
    </row>
    <row r="9" ht="21" customHeight="1" spans="1:23">
      <c r="A9" s="231"/>
      <c r="B9" s="232"/>
      <c r="C9" s="233"/>
      <c r="D9" s="233"/>
      <c r="E9" s="233"/>
      <c r="F9" s="233"/>
      <c r="G9" s="233"/>
      <c r="H9" s="233"/>
      <c r="I9" s="233"/>
      <c r="J9" s="277"/>
      <c r="K9" s="231" t="s">
        <v>240</v>
      </c>
      <c r="L9" s="231">
        <v>2120801</v>
      </c>
      <c r="M9" s="275">
        <v>2000</v>
      </c>
      <c r="N9" s="275">
        <f>'2020年政府性基金预计情况'!P7</f>
        <v>2000</v>
      </c>
      <c r="O9" s="276">
        <v>1000</v>
      </c>
      <c r="P9" s="276">
        <f>IFERROR((O9-M9)/M9,0)</f>
        <v>-0.5</v>
      </c>
      <c r="Q9" s="276"/>
      <c r="R9" s="276"/>
      <c r="S9" s="276">
        <f>O9+Q9+R9</f>
        <v>1000</v>
      </c>
      <c r="T9" s="274">
        <f t="shared" si="0"/>
        <v>1</v>
      </c>
      <c r="U9" s="296" t="s">
        <v>241</v>
      </c>
      <c r="W9" s="295" t="e">
        <f>#REF!</f>
        <v>#REF!</v>
      </c>
    </row>
    <row r="10" ht="21" customHeight="1" spans="1:23">
      <c r="A10" s="231"/>
      <c r="B10" s="232"/>
      <c r="C10" s="233"/>
      <c r="D10" s="233"/>
      <c r="E10" s="233"/>
      <c r="F10" s="233"/>
      <c r="G10" s="233"/>
      <c r="H10" s="233"/>
      <c r="I10" s="233"/>
      <c r="J10" s="277"/>
      <c r="K10" s="231" t="s">
        <v>242</v>
      </c>
      <c r="L10" s="231">
        <v>2120803</v>
      </c>
      <c r="M10" s="275">
        <v>6778.9</v>
      </c>
      <c r="N10" s="275">
        <f>'2020年政府性基金预计情况'!P8</f>
        <v>6779</v>
      </c>
      <c r="O10" s="276">
        <v>11212</v>
      </c>
      <c r="P10" s="276">
        <f>IFERROR((O10-M10)/M10,0)</f>
        <v>0.653955656522445</v>
      </c>
      <c r="Q10" s="276"/>
      <c r="R10" s="276"/>
      <c r="S10" s="276">
        <f t="shared" ref="S10:S17" si="1">O10+Q10+R10</f>
        <v>11212</v>
      </c>
      <c r="T10" s="274">
        <f t="shared" si="0"/>
        <v>1</v>
      </c>
      <c r="U10" s="296" t="s">
        <v>243</v>
      </c>
      <c r="W10" s="295" t="e">
        <f>#REF!</f>
        <v>#REF!</v>
      </c>
    </row>
    <row r="11" ht="21" customHeight="1" spans="1:23">
      <c r="A11" s="234"/>
      <c r="B11" s="232"/>
      <c r="C11" s="233"/>
      <c r="D11" s="233"/>
      <c r="E11" s="233"/>
      <c r="F11" s="233"/>
      <c r="G11" s="233"/>
      <c r="H11" s="233"/>
      <c r="I11" s="233"/>
      <c r="J11" s="238"/>
      <c r="K11" s="234" t="s">
        <v>244</v>
      </c>
      <c r="L11" s="231">
        <v>2120811</v>
      </c>
      <c r="M11" s="246">
        <v>9638</v>
      </c>
      <c r="N11" s="246">
        <f>'2020年政府性基金预计情况'!P11</f>
        <v>9638</v>
      </c>
      <c r="O11" s="276">
        <f>5000+1490+18</f>
        <v>6508</v>
      </c>
      <c r="P11" s="276">
        <f>IFERROR((O11-M11)/M11,0)</f>
        <v>-0.324756173479975</v>
      </c>
      <c r="Q11" s="276"/>
      <c r="R11" s="276"/>
      <c r="S11" s="276">
        <f t="shared" si="1"/>
        <v>6508</v>
      </c>
      <c r="T11" s="274">
        <f t="shared" si="0"/>
        <v>1</v>
      </c>
      <c r="U11" s="296" t="s">
        <v>245</v>
      </c>
      <c r="W11" s="295" t="e">
        <f>#REF!</f>
        <v>#REF!</v>
      </c>
    </row>
    <row r="12" ht="30" hidden="1" customHeight="1" spans="1:23">
      <c r="A12" s="235"/>
      <c r="B12" s="236"/>
      <c r="C12" s="233"/>
      <c r="D12" s="233"/>
      <c r="E12" s="233"/>
      <c r="F12" s="233"/>
      <c r="G12" s="233"/>
      <c r="H12" s="233"/>
      <c r="I12" s="233"/>
      <c r="J12" s="238"/>
      <c r="K12" s="278" t="s">
        <v>246</v>
      </c>
      <c r="L12" s="278"/>
      <c r="M12" s="246">
        <v>20</v>
      </c>
      <c r="N12" s="246">
        <f>'2020年政府性基金预计情况'!P14</f>
        <v>20</v>
      </c>
      <c r="O12" s="276">
        <f>'2020年政府性基金预计情况'!Q14</f>
        <v>0</v>
      </c>
      <c r="P12" s="276">
        <f>IFERROR((O12-M12)/M12,0)</f>
        <v>-1</v>
      </c>
      <c r="Q12" s="276"/>
      <c r="R12" s="276"/>
      <c r="S12" s="276">
        <f t="shared" si="1"/>
        <v>0</v>
      </c>
      <c r="T12" s="274"/>
      <c r="W12" s="295" t="e">
        <f>#REF!</f>
        <v>#REF!</v>
      </c>
    </row>
    <row r="13" ht="30" customHeight="1" spans="1:23">
      <c r="A13" s="235"/>
      <c r="B13" s="236"/>
      <c r="C13" s="233"/>
      <c r="D13" s="233"/>
      <c r="E13" s="233"/>
      <c r="F13" s="233"/>
      <c r="G13" s="233"/>
      <c r="H13" s="233"/>
      <c r="I13" s="233"/>
      <c r="J13" s="238"/>
      <c r="K13" s="278" t="s">
        <v>247</v>
      </c>
      <c r="L13" s="231">
        <v>2120899</v>
      </c>
      <c r="M13" s="246">
        <v>18000</v>
      </c>
      <c r="N13" s="246">
        <f>'2020年政府性基金预计情况'!P13</f>
        <v>18000</v>
      </c>
      <c r="O13" s="276">
        <f>2000-400</f>
        <v>1600</v>
      </c>
      <c r="P13" s="276">
        <f>IFERROR((O13-M13)/M13,0)</f>
        <v>-0.911111111111111</v>
      </c>
      <c r="Q13" s="276"/>
      <c r="R13" s="276"/>
      <c r="S13" s="276">
        <f t="shared" si="1"/>
        <v>1600</v>
      </c>
      <c r="T13" s="274">
        <f>S13/O13</f>
        <v>1</v>
      </c>
      <c r="W13" s="295"/>
    </row>
    <row r="14" ht="36.95" customHeight="1" spans="1:23">
      <c r="A14" s="235"/>
      <c r="B14" s="236"/>
      <c r="C14" s="237"/>
      <c r="D14" s="237"/>
      <c r="E14" s="237"/>
      <c r="F14" s="238"/>
      <c r="G14" s="238"/>
      <c r="H14" s="238"/>
      <c r="I14" s="238"/>
      <c r="J14" s="238"/>
      <c r="K14" s="278" t="s">
        <v>248</v>
      </c>
      <c r="L14" s="231">
        <v>21219</v>
      </c>
      <c r="M14" s="279"/>
      <c r="N14" s="279"/>
      <c r="O14" s="276"/>
      <c r="P14" s="276"/>
      <c r="Q14" s="276">
        <v>7900</v>
      </c>
      <c r="R14" s="276"/>
      <c r="S14" s="276">
        <v>7900</v>
      </c>
      <c r="T14" s="276"/>
      <c r="W14" s="295"/>
    </row>
    <row r="15" ht="23.1" customHeight="1" spans="1:23">
      <c r="A15" s="235"/>
      <c r="B15" s="236"/>
      <c r="C15" s="237"/>
      <c r="D15" s="237"/>
      <c r="E15" s="239"/>
      <c r="F15" s="240"/>
      <c r="G15" s="240"/>
      <c r="H15" s="240"/>
      <c r="I15" s="240"/>
      <c r="J15" s="238"/>
      <c r="K15" s="278" t="s">
        <v>249</v>
      </c>
      <c r="L15" s="278">
        <v>229</v>
      </c>
      <c r="M15" s="279"/>
      <c r="N15" s="279"/>
      <c r="O15" s="276">
        <f>O16+O20</f>
        <v>828</v>
      </c>
      <c r="P15" s="276"/>
      <c r="Q15" s="276">
        <f>Q16+Q20</f>
        <v>6100</v>
      </c>
      <c r="R15" s="276"/>
      <c r="S15" s="276">
        <f>O15+Q15+R15</f>
        <v>6928</v>
      </c>
      <c r="T15" s="274">
        <f>S15/O15</f>
        <v>8.36714975845411</v>
      </c>
      <c r="W15" s="295"/>
    </row>
    <row r="16" ht="36.95" customHeight="1" spans="1:23">
      <c r="A16" s="235"/>
      <c r="B16" s="236"/>
      <c r="C16" s="237"/>
      <c r="D16" s="237"/>
      <c r="E16" s="239"/>
      <c r="F16" s="240"/>
      <c r="G16" s="240"/>
      <c r="H16" s="240"/>
      <c r="I16" s="240"/>
      <c r="J16" s="238"/>
      <c r="K16" s="278" t="s">
        <v>250</v>
      </c>
      <c r="L16" s="231">
        <v>2290401</v>
      </c>
      <c r="M16" s="279"/>
      <c r="N16" s="279"/>
      <c r="O16" s="276"/>
      <c r="P16" s="276"/>
      <c r="Q16" s="276">
        <v>6100</v>
      </c>
      <c r="R16" s="276"/>
      <c r="S16" s="276">
        <f t="shared" si="1"/>
        <v>6100</v>
      </c>
      <c r="T16" s="276"/>
      <c r="W16" s="295"/>
    </row>
    <row r="17" ht="32.1" hidden="1" customHeight="1" spans="1:23">
      <c r="A17" s="235"/>
      <c r="B17" s="236"/>
      <c r="C17" s="237"/>
      <c r="D17" s="237"/>
      <c r="E17" s="239"/>
      <c r="F17" s="240"/>
      <c r="G17" s="240"/>
      <c r="H17" s="240"/>
      <c r="I17" s="240"/>
      <c r="J17" s="238"/>
      <c r="K17" s="278" t="s">
        <v>251</v>
      </c>
      <c r="L17" s="231">
        <v>2290402</v>
      </c>
      <c r="M17" s="246"/>
      <c r="N17" s="246"/>
      <c r="O17" s="276"/>
      <c r="P17" s="276"/>
      <c r="Q17" s="276">
        <v>6100</v>
      </c>
      <c r="R17" s="276"/>
      <c r="S17" s="276">
        <f t="shared" si="1"/>
        <v>6100</v>
      </c>
      <c r="T17" s="276"/>
      <c r="W17" s="295"/>
    </row>
    <row r="18" ht="32.1" hidden="1" customHeight="1" spans="1:23">
      <c r="A18" s="235"/>
      <c r="B18" s="236"/>
      <c r="C18" s="237"/>
      <c r="D18" s="237"/>
      <c r="E18" s="239"/>
      <c r="F18" s="240"/>
      <c r="G18" s="240"/>
      <c r="H18" s="240"/>
      <c r="I18" s="240"/>
      <c r="J18" s="238"/>
      <c r="K18" s="244" t="s">
        <v>252</v>
      </c>
      <c r="L18" s="244"/>
      <c r="M18" s="246"/>
      <c r="N18" s="246"/>
      <c r="O18" s="276"/>
      <c r="P18" s="276"/>
      <c r="Q18" s="276"/>
      <c r="R18" s="276"/>
      <c r="S18" s="276"/>
      <c r="T18" s="276"/>
      <c r="W18" s="295"/>
    </row>
    <row r="19" ht="20.1" hidden="1" customHeight="1" spans="1:21">
      <c r="A19" s="235"/>
      <c r="B19" s="236"/>
      <c r="C19" s="237"/>
      <c r="D19" s="237"/>
      <c r="E19" s="239"/>
      <c r="F19" s="240"/>
      <c r="G19" s="240"/>
      <c r="H19" s="240"/>
      <c r="I19" s="240"/>
      <c r="J19" s="238"/>
      <c r="K19" s="244" t="s">
        <v>253</v>
      </c>
      <c r="L19" s="244"/>
      <c r="M19" s="246"/>
      <c r="N19" s="246"/>
      <c r="O19" s="276"/>
      <c r="P19" s="276"/>
      <c r="Q19" s="276"/>
      <c r="R19" s="276"/>
      <c r="S19" s="276"/>
      <c r="T19" s="276"/>
      <c r="U19" s="297"/>
    </row>
    <row r="20" s="209" customFormat="1" ht="24.95" customHeight="1" spans="1:21">
      <c r="A20" s="241"/>
      <c r="B20" s="241"/>
      <c r="C20" s="241"/>
      <c r="D20" s="241"/>
      <c r="E20" s="241"/>
      <c r="F20" s="241"/>
      <c r="G20" s="241"/>
      <c r="H20" s="241"/>
      <c r="I20" s="241"/>
      <c r="J20" s="241"/>
      <c r="K20" s="234" t="s">
        <v>254</v>
      </c>
      <c r="L20" s="231">
        <v>22960</v>
      </c>
      <c r="M20" s="246">
        <v>837</v>
      </c>
      <c r="N20" s="246">
        <f>'2020年政府性基金预计情况'!P16</f>
        <v>837</v>
      </c>
      <c r="O20" s="276">
        <v>828</v>
      </c>
      <c r="P20" s="276">
        <f>IFERROR((O20-M20)/M20,0)</f>
        <v>-0.010752688172043</v>
      </c>
      <c r="Q20" s="276"/>
      <c r="R20" s="276"/>
      <c r="S20" s="276">
        <v>828</v>
      </c>
      <c r="T20" s="274">
        <f>S20/O20</f>
        <v>1</v>
      </c>
      <c r="U20" s="298"/>
    </row>
    <row r="21" ht="20.1" customHeight="1" spans="1:21">
      <c r="A21" s="242" t="s">
        <v>255</v>
      </c>
      <c r="B21" s="227"/>
      <c r="C21" s="229">
        <f>C22+C32+C33</f>
        <v>85322.35</v>
      </c>
      <c r="D21" s="229">
        <f>D22+D32+D33</f>
        <v>112125.5</v>
      </c>
      <c r="E21" s="243">
        <f>E22+E32+E33</f>
        <v>77970.72</v>
      </c>
      <c r="F21" s="243" t="e">
        <f>F22+F32+F33+#REF!</f>
        <v>#REF!</v>
      </c>
      <c r="G21" s="243">
        <f>G22+G30+G32+G33</f>
        <v>14000</v>
      </c>
      <c r="H21" s="243">
        <f>H22+H30+H32+H33</f>
        <v>23000</v>
      </c>
      <c r="I21" s="257">
        <f>I22+I30+I32</f>
        <v>114970.72</v>
      </c>
      <c r="J21" s="280">
        <f>I21/E21</f>
        <v>1.47453710828885</v>
      </c>
      <c r="K21" s="242" t="s">
        <v>256</v>
      </c>
      <c r="L21" s="273">
        <v>230</v>
      </c>
      <c r="M21" s="229">
        <f t="shared" ref="M21:S21" si="2">M22+M25+M26</f>
        <v>35249.45</v>
      </c>
      <c r="N21" s="229">
        <f t="shared" si="2"/>
        <v>74979.5</v>
      </c>
      <c r="O21" s="229">
        <f t="shared" si="2"/>
        <v>56939</v>
      </c>
      <c r="P21" s="229" t="e">
        <f t="shared" si="2"/>
        <v>#REF!</v>
      </c>
      <c r="Q21" s="229">
        <f t="shared" si="2"/>
        <v>-15.4</v>
      </c>
      <c r="R21" s="229">
        <f t="shared" si="2"/>
        <v>0</v>
      </c>
      <c r="S21" s="229">
        <f t="shared" si="2"/>
        <v>56923.6</v>
      </c>
      <c r="T21" s="280">
        <f>S21/O21</f>
        <v>0.999729535116528</v>
      </c>
      <c r="U21" s="299"/>
    </row>
    <row r="22" ht="20.1" customHeight="1" spans="1:21">
      <c r="A22" s="244" t="s">
        <v>257</v>
      </c>
      <c r="B22" s="245">
        <v>11004</v>
      </c>
      <c r="C22" s="246">
        <f>C23+C28</f>
        <v>40828</v>
      </c>
      <c r="D22" s="246">
        <f>D23+D28</f>
        <v>67777.5</v>
      </c>
      <c r="E22" s="247">
        <f>E23</f>
        <v>30819.72</v>
      </c>
      <c r="F22" s="248">
        <f>(E22-C22)/C22</f>
        <v>-0.245132752032919</v>
      </c>
      <c r="G22" s="248">
        <f>G23+G28+G29</f>
        <v>0</v>
      </c>
      <c r="H22" s="248">
        <f>H23+H28+H29</f>
        <v>23000</v>
      </c>
      <c r="I22" s="281">
        <f>E22+G22+H22</f>
        <v>53819.72</v>
      </c>
      <c r="J22" s="274">
        <f>I22/E22</f>
        <v>1.74627543663602</v>
      </c>
      <c r="K22" s="244" t="s">
        <v>258</v>
      </c>
      <c r="L22" s="245">
        <v>23004</v>
      </c>
      <c r="M22" s="237"/>
      <c r="N22" s="237"/>
      <c r="O22" s="237"/>
      <c r="P22" s="237"/>
      <c r="Q22" s="237"/>
      <c r="R22" s="237"/>
      <c r="S22" s="237"/>
      <c r="T22" s="237"/>
      <c r="U22" s="299"/>
    </row>
    <row r="23" ht="20.1" customHeight="1" spans="1:21">
      <c r="A23" s="244" t="s">
        <v>259</v>
      </c>
      <c r="B23" s="245">
        <v>1100401</v>
      </c>
      <c r="C23" s="246">
        <v>40828</v>
      </c>
      <c r="D23" s="246">
        <f>SUM(D24:D27)</f>
        <v>67777.5</v>
      </c>
      <c r="E23" s="247">
        <f>SUM(E24:E27)</f>
        <v>30819.72</v>
      </c>
      <c r="F23" s="248">
        <f>(E23-C23)/C23</f>
        <v>-0.245132752032919</v>
      </c>
      <c r="G23" s="248"/>
      <c r="H23" s="248"/>
      <c r="I23" s="281">
        <f t="shared" ref="I23:I33" si="3">E23+G23+H23</f>
        <v>30819.72</v>
      </c>
      <c r="J23" s="274">
        <f>I23/E23</f>
        <v>1</v>
      </c>
      <c r="K23" s="244" t="s">
        <v>260</v>
      </c>
      <c r="L23" s="245">
        <v>2300401</v>
      </c>
      <c r="M23" s="237"/>
      <c r="N23" s="246"/>
      <c r="O23" s="237"/>
      <c r="P23" s="276"/>
      <c r="Q23" s="276"/>
      <c r="R23" s="276"/>
      <c r="S23" s="276"/>
      <c r="T23" s="276"/>
      <c r="U23" s="299"/>
    </row>
    <row r="24" ht="20.1" customHeight="1" spans="1:21">
      <c r="A24" s="244" t="s">
        <v>261</v>
      </c>
      <c r="B24" s="245"/>
      <c r="C24" s="246">
        <v>40000</v>
      </c>
      <c r="D24" s="246">
        <v>66889</v>
      </c>
      <c r="E24" s="247">
        <v>30000</v>
      </c>
      <c r="F24" s="248">
        <f>(E24-C24)/C24</f>
        <v>-0.25</v>
      </c>
      <c r="G24" s="248"/>
      <c r="H24" s="248"/>
      <c r="I24" s="281">
        <f t="shared" si="3"/>
        <v>30000</v>
      </c>
      <c r="J24" s="274">
        <f>I24/E24</f>
        <v>1</v>
      </c>
      <c r="K24" s="244" t="s">
        <v>262</v>
      </c>
      <c r="L24" s="245"/>
      <c r="M24" s="237"/>
      <c r="N24" s="246"/>
      <c r="O24" s="237"/>
      <c r="P24" s="276"/>
      <c r="Q24" s="276"/>
      <c r="R24" s="276"/>
      <c r="S24" s="276"/>
      <c r="T24" s="276"/>
      <c r="U24" s="299"/>
    </row>
    <row r="25" ht="20.1" customHeight="1" spans="1:21">
      <c r="A25" s="244" t="s">
        <v>263</v>
      </c>
      <c r="B25" s="245"/>
      <c r="C25" s="246">
        <v>0</v>
      </c>
      <c r="D25" s="246">
        <f>'2020年政府性基金预计情况'!C14</f>
        <v>0</v>
      </c>
      <c r="E25" s="249">
        <f>'2020年政府性基金预计情况'!F14</f>
        <v>0</v>
      </c>
      <c r="F25" s="250"/>
      <c r="G25" s="250"/>
      <c r="H25" s="250"/>
      <c r="I25" s="250">
        <f t="shared" si="3"/>
        <v>0</v>
      </c>
      <c r="J25" s="274"/>
      <c r="K25" s="244" t="s">
        <v>264</v>
      </c>
      <c r="L25" s="252">
        <v>23008</v>
      </c>
      <c r="M25" s="246">
        <v>15000</v>
      </c>
      <c r="N25" s="246">
        <v>15000</v>
      </c>
      <c r="O25" s="246">
        <v>38000</v>
      </c>
      <c r="P25" s="276">
        <f>IFERROR((O25-M25)/M25,0)</f>
        <v>1.53333333333333</v>
      </c>
      <c r="Q25" s="276"/>
      <c r="R25" s="276"/>
      <c r="S25" s="276">
        <f t="shared" ref="S25:S26" si="4">O25+Q25+R25</f>
        <v>38000</v>
      </c>
      <c r="T25" s="274">
        <f t="shared" ref="T25:T26" si="5">S25/O25</f>
        <v>1</v>
      </c>
      <c r="U25" s="299"/>
    </row>
    <row r="26" ht="20.1" customHeight="1" spans="1:21">
      <c r="A26" s="244" t="s">
        <v>265</v>
      </c>
      <c r="B26" s="245"/>
      <c r="C26" s="246">
        <v>0</v>
      </c>
      <c r="D26" s="246">
        <f>'2020年政府性基金预计情况'!C15</f>
        <v>0</v>
      </c>
      <c r="E26" s="249">
        <f>'2020年政府性基金预计情况'!F15</f>
        <v>0</v>
      </c>
      <c r="F26" s="250"/>
      <c r="G26" s="250"/>
      <c r="H26" s="250"/>
      <c r="I26" s="250">
        <f t="shared" si="3"/>
        <v>0</v>
      </c>
      <c r="J26" s="274"/>
      <c r="K26" s="244" t="s">
        <v>266</v>
      </c>
      <c r="L26" s="252">
        <v>23009</v>
      </c>
      <c r="M26" s="246">
        <v>20249.45</v>
      </c>
      <c r="N26" s="246">
        <f>D36-N6-N25</f>
        <v>59979.5</v>
      </c>
      <c r="O26" s="246">
        <f>E36-O6-O25</f>
        <v>18939</v>
      </c>
      <c r="P26" s="246" t="e">
        <f>F29-#REF!-P15-P25-P27</f>
        <v>#REF!</v>
      </c>
      <c r="Q26" s="246">
        <v>-15.4</v>
      </c>
      <c r="R26" s="246"/>
      <c r="S26" s="276">
        <f t="shared" si="4"/>
        <v>18923.6</v>
      </c>
      <c r="T26" s="274">
        <f t="shared" si="5"/>
        <v>0.999186863086752</v>
      </c>
      <c r="U26" s="299"/>
    </row>
    <row r="27" ht="20.1" customHeight="1" spans="1:21">
      <c r="A27" s="244" t="s">
        <v>267</v>
      </c>
      <c r="B27" s="245"/>
      <c r="C27" s="246">
        <v>828</v>
      </c>
      <c r="D27" s="246">
        <v>888.5</v>
      </c>
      <c r="E27" s="249">
        <f>'2020年政府性基金预计情况'!F16-E7</f>
        <v>819.72</v>
      </c>
      <c r="F27" s="250">
        <f>(E27-C27)/C27</f>
        <v>-0.00999999999999997</v>
      </c>
      <c r="G27" s="250"/>
      <c r="H27" s="250"/>
      <c r="I27" s="250">
        <f t="shared" si="3"/>
        <v>819.72</v>
      </c>
      <c r="J27" s="274">
        <f>I27/E27</f>
        <v>1</v>
      </c>
      <c r="K27" s="242" t="s">
        <v>268</v>
      </c>
      <c r="L27" s="282">
        <v>233</v>
      </c>
      <c r="M27" s="246"/>
      <c r="N27" s="246"/>
      <c r="O27" s="246"/>
      <c r="P27" s="276"/>
      <c r="Q27" s="229">
        <v>15.4</v>
      </c>
      <c r="R27" s="229">
        <v>0</v>
      </c>
      <c r="S27" s="229">
        <v>15.4</v>
      </c>
      <c r="T27" s="276"/>
      <c r="U27" s="299"/>
    </row>
    <row r="28" ht="20.1" customHeight="1" spans="1:21">
      <c r="A28" s="244" t="s">
        <v>269</v>
      </c>
      <c r="B28" s="245">
        <v>1100402</v>
      </c>
      <c r="C28" s="246"/>
      <c r="D28" s="246"/>
      <c r="E28" s="249"/>
      <c r="F28" s="250"/>
      <c r="G28" s="250"/>
      <c r="H28" s="250"/>
      <c r="I28" s="250">
        <f t="shared" si="3"/>
        <v>0</v>
      </c>
      <c r="J28" s="274"/>
      <c r="K28" s="242" t="s">
        <v>270</v>
      </c>
      <c r="L28" s="282">
        <v>234</v>
      </c>
      <c r="M28" s="237"/>
      <c r="N28" s="246"/>
      <c r="O28" s="283"/>
      <c r="P28" s="276"/>
      <c r="Q28" s="276"/>
      <c r="R28" s="242">
        <f>R29+R31</f>
        <v>23000</v>
      </c>
      <c r="S28" s="229">
        <f>S29+S31</f>
        <v>23000</v>
      </c>
      <c r="T28" s="276"/>
      <c r="U28" s="299"/>
    </row>
    <row r="29" ht="21" customHeight="1" spans="1:21">
      <c r="A29" s="244" t="s">
        <v>271</v>
      </c>
      <c r="B29" s="245">
        <v>1100403</v>
      </c>
      <c r="C29" s="246"/>
      <c r="D29" s="246"/>
      <c r="E29" s="249"/>
      <c r="F29" s="250"/>
      <c r="G29" s="250"/>
      <c r="H29" s="250">
        <v>23000</v>
      </c>
      <c r="I29" s="250">
        <f t="shared" si="3"/>
        <v>23000</v>
      </c>
      <c r="J29" s="274"/>
      <c r="K29" s="244" t="s">
        <v>272</v>
      </c>
      <c r="L29" s="245">
        <v>23401</v>
      </c>
      <c r="M29" s="237"/>
      <c r="N29" s="246"/>
      <c r="O29" s="237"/>
      <c r="P29" s="276"/>
      <c r="Q29" s="276"/>
      <c r="R29" s="276">
        <f>R30</f>
        <v>11220</v>
      </c>
      <c r="S29" s="276">
        <f t="shared" ref="S29:S33" si="6">O29+Q29+R29</f>
        <v>11220</v>
      </c>
      <c r="T29" s="276"/>
      <c r="U29" s="299"/>
    </row>
    <row r="30" ht="21" customHeight="1" spans="1:21">
      <c r="A30" s="244" t="s">
        <v>273</v>
      </c>
      <c r="B30" s="245">
        <v>11011</v>
      </c>
      <c r="C30" s="246"/>
      <c r="D30" s="246"/>
      <c r="E30" s="249"/>
      <c r="F30" s="250"/>
      <c r="G30" s="250">
        <v>14000</v>
      </c>
      <c r="H30" s="250"/>
      <c r="I30" s="250">
        <f t="shared" si="3"/>
        <v>14000</v>
      </c>
      <c r="J30" s="274"/>
      <c r="K30" s="244" t="s">
        <v>274</v>
      </c>
      <c r="L30" s="245">
        <v>2340108</v>
      </c>
      <c r="M30" s="237"/>
      <c r="N30" s="246"/>
      <c r="O30" s="237"/>
      <c r="P30" s="276"/>
      <c r="Q30" s="276"/>
      <c r="R30" s="276">
        <v>11220</v>
      </c>
      <c r="S30" s="276">
        <f t="shared" si="6"/>
        <v>11220</v>
      </c>
      <c r="T30" s="274"/>
      <c r="U30" s="299"/>
    </row>
    <row r="31" ht="20.1" customHeight="1" spans="1:23">
      <c r="A31" s="251" t="s">
        <v>275</v>
      </c>
      <c r="B31" s="252"/>
      <c r="C31" s="246"/>
      <c r="D31" s="246"/>
      <c r="E31" s="249"/>
      <c r="F31" s="250"/>
      <c r="G31" s="250">
        <v>14000</v>
      </c>
      <c r="H31" s="250"/>
      <c r="I31" s="250">
        <f t="shared" si="3"/>
        <v>14000</v>
      </c>
      <c r="J31" s="274"/>
      <c r="K31" s="244" t="s">
        <v>276</v>
      </c>
      <c r="L31" s="245">
        <v>23402</v>
      </c>
      <c r="M31" s="237"/>
      <c r="N31" s="246"/>
      <c r="O31" s="237"/>
      <c r="P31" s="276"/>
      <c r="Q31" s="276"/>
      <c r="R31" s="276">
        <f>R32+R33</f>
        <v>11780</v>
      </c>
      <c r="S31" s="276">
        <f t="shared" si="6"/>
        <v>11780</v>
      </c>
      <c r="T31" s="276"/>
      <c r="U31" s="295"/>
      <c r="W31" s="300" t="s">
        <v>277</v>
      </c>
    </row>
    <row r="32" ht="20.1" customHeight="1" spans="1:21">
      <c r="A32" s="244" t="s">
        <v>278</v>
      </c>
      <c r="B32" s="245">
        <v>11008</v>
      </c>
      <c r="C32" s="246">
        <v>44494.35</v>
      </c>
      <c r="D32" s="246">
        <v>44348</v>
      </c>
      <c r="E32" s="249">
        <v>47151</v>
      </c>
      <c r="F32" s="250">
        <f>(E32-C32)/C32</f>
        <v>0.0597075808501529</v>
      </c>
      <c r="G32" s="250"/>
      <c r="H32" s="250"/>
      <c r="I32" s="250">
        <f t="shared" si="3"/>
        <v>47151</v>
      </c>
      <c r="J32" s="274">
        <f>I32/E32</f>
        <v>1</v>
      </c>
      <c r="K32" s="244" t="s">
        <v>279</v>
      </c>
      <c r="L32" s="252">
        <v>2340204</v>
      </c>
      <c r="M32" s="246"/>
      <c r="N32" s="246"/>
      <c r="O32" s="246"/>
      <c r="P32" s="276"/>
      <c r="Q32" s="276"/>
      <c r="R32" s="276">
        <v>745</v>
      </c>
      <c r="S32" s="276">
        <f t="shared" si="6"/>
        <v>745</v>
      </c>
      <c r="T32" s="274"/>
      <c r="U32" s="299"/>
    </row>
    <row r="33" ht="20.1" customHeight="1" spans="1:21">
      <c r="A33" s="244" t="s">
        <v>280</v>
      </c>
      <c r="B33" s="245">
        <v>11009</v>
      </c>
      <c r="C33" s="237"/>
      <c r="D33" s="246"/>
      <c r="E33" s="253"/>
      <c r="F33" s="250"/>
      <c r="G33" s="250"/>
      <c r="H33" s="250"/>
      <c r="I33" s="250">
        <f t="shared" si="3"/>
        <v>0</v>
      </c>
      <c r="J33" s="276"/>
      <c r="K33" s="244" t="s">
        <v>281</v>
      </c>
      <c r="L33" s="252">
        <v>2340299</v>
      </c>
      <c r="M33" s="246"/>
      <c r="N33" s="246"/>
      <c r="O33" s="246"/>
      <c r="P33" s="246"/>
      <c r="Q33" s="246"/>
      <c r="R33" s="246">
        <v>11035</v>
      </c>
      <c r="S33" s="276">
        <f t="shared" si="6"/>
        <v>11035</v>
      </c>
      <c r="T33" s="274"/>
      <c r="U33" s="301"/>
    </row>
    <row r="34" ht="20.1" customHeight="1" spans="1:21">
      <c r="A34" s="254"/>
      <c r="B34" s="255"/>
      <c r="C34" s="237"/>
      <c r="D34" s="246"/>
      <c r="E34" s="249"/>
      <c r="F34" s="250"/>
      <c r="G34" s="250"/>
      <c r="H34" s="250"/>
      <c r="I34" s="250"/>
      <c r="J34" s="276"/>
      <c r="K34" s="242"/>
      <c r="L34" s="242"/>
      <c r="M34" s="246"/>
      <c r="N34" s="246"/>
      <c r="O34" s="246"/>
      <c r="P34" s="276"/>
      <c r="Q34" s="229"/>
      <c r="R34" s="229"/>
      <c r="S34" s="229"/>
      <c r="T34" s="276"/>
      <c r="U34" s="301"/>
    </row>
    <row r="35" s="209" customFormat="1" ht="26.1" customHeight="1" spans="1:2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2"/>
      <c r="L35" s="242"/>
      <c r="M35" s="246"/>
      <c r="N35" s="246"/>
      <c r="O35" s="246"/>
      <c r="P35" s="276"/>
      <c r="Q35" s="229"/>
      <c r="R35" s="229"/>
      <c r="S35" s="229"/>
      <c r="T35" s="276"/>
      <c r="U35" s="298"/>
    </row>
    <row r="36" ht="17.25" customHeight="1" spans="1:20">
      <c r="A36" s="256" t="s">
        <v>162</v>
      </c>
      <c r="B36" s="227"/>
      <c r="C36" s="229">
        <f>C6+C21</f>
        <v>85352.35</v>
      </c>
      <c r="D36" s="229">
        <f>D6+D21</f>
        <v>112253.5</v>
      </c>
      <c r="E36" s="243">
        <v>78087</v>
      </c>
      <c r="F36" s="257">
        <f>(E36-C36)/C36</f>
        <v>-0.085121850775052</v>
      </c>
      <c r="G36" s="257">
        <f>G6+G21</f>
        <v>14000</v>
      </c>
      <c r="H36" s="257">
        <f>H6+H21</f>
        <v>23000</v>
      </c>
      <c r="I36" s="257">
        <f>E36+G36+H36</f>
        <v>115087</v>
      </c>
      <c r="J36" s="272">
        <f>I36/E36</f>
        <v>1.47383047114116</v>
      </c>
      <c r="K36" s="256" t="s">
        <v>282</v>
      </c>
      <c r="L36" s="256"/>
      <c r="M36" s="229">
        <f>M6+M21</f>
        <v>72523.35</v>
      </c>
      <c r="N36" s="229">
        <f>N6+N21</f>
        <v>112253.5</v>
      </c>
      <c r="O36" s="229">
        <f>O6+O21+O34</f>
        <v>78087</v>
      </c>
      <c r="P36" s="229" t="e">
        <f>P6+P21+P34</f>
        <v>#REF!</v>
      </c>
      <c r="Q36" s="229">
        <f>Q6+Q21+Q27</f>
        <v>14000</v>
      </c>
      <c r="R36" s="229">
        <f>R28</f>
        <v>23000</v>
      </c>
      <c r="S36" s="229">
        <f>S6+S21+S27+S28</f>
        <v>115087</v>
      </c>
      <c r="T36" s="272">
        <f>S36/O36</f>
        <v>1.47383047114116</v>
      </c>
    </row>
    <row r="37" ht="18" customHeight="1" spans="1:20">
      <c r="A37" s="258"/>
      <c r="B37" s="259"/>
      <c r="C37" s="260"/>
      <c r="D37" s="260"/>
      <c r="E37" s="260"/>
      <c r="F37" s="260"/>
      <c r="G37" s="260"/>
      <c r="H37" s="260"/>
      <c r="I37" s="260"/>
      <c r="J37" s="260"/>
      <c r="K37" s="284"/>
      <c r="L37" s="284"/>
      <c r="M37" s="284"/>
      <c r="N37" s="284"/>
      <c r="O37" s="284"/>
      <c r="P37" s="284"/>
      <c r="Q37" s="302"/>
      <c r="R37" s="302"/>
      <c r="S37" s="302"/>
      <c r="T37" s="302"/>
    </row>
    <row r="38" ht="21" customHeight="1" spans="1:20">
      <c r="A38" s="261"/>
      <c r="B38" s="262"/>
      <c r="C38" s="263"/>
      <c r="D38" s="263"/>
      <c r="E38" s="263"/>
      <c r="F38" s="263"/>
      <c r="G38" s="263"/>
      <c r="H38" s="263"/>
      <c r="I38" s="263"/>
      <c r="J38" s="263"/>
      <c r="K38" s="260"/>
      <c r="L38" s="260"/>
      <c r="M38" s="260"/>
      <c r="N38" s="260"/>
      <c r="O38" s="260"/>
      <c r="P38" s="260"/>
      <c r="Q38" s="260"/>
      <c r="R38" s="260"/>
      <c r="S38" s="260"/>
      <c r="T38" s="260"/>
    </row>
    <row r="39" ht="21" customHeight="1" spans="1:20">
      <c r="A39" s="264"/>
      <c r="B39" s="265"/>
      <c r="C39" s="266"/>
      <c r="D39" s="266"/>
      <c r="E39" s="266"/>
      <c r="F39" s="266"/>
      <c r="G39" s="266"/>
      <c r="H39" s="266"/>
      <c r="I39" s="266"/>
      <c r="J39" s="266"/>
      <c r="K39" s="261"/>
      <c r="L39" s="261"/>
      <c r="M39" s="263"/>
      <c r="N39" s="263"/>
      <c r="O39" s="263"/>
      <c r="P39" s="285"/>
      <c r="Q39" s="285"/>
      <c r="R39" s="285"/>
      <c r="S39" s="285"/>
      <c r="T39" s="285"/>
    </row>
    <row r="40" ht="21" customHeight="1" spans="1:15">
      <c r="A40" s="264"/>
      <c r="B40" s="265"/>
      <c r="C40" s="266"/>
      <c r="D40" s="266"/>
      <c r="E40" s="266"/>
      <c r="F40" s="266"/>
      <c r="G40" s="266"/>
      <c r="H40" s="266"/>
      <c r="I40" s="266"/>
      <c r="J40" s="266"/>
      <c r="K40" s="264"/>
      <c r="L40" s="264"/>
      <c r="M40" s="266"/>
      <c r="N40" s="266"/>
      <c r="O40" s="266"/>
    </row>
    <row r="41" ht="33" customHeight="1" spans="1:15">
      <c r="A41" s="264"/>
      <c r="B41" s="265"/>
      <c r="C41" s="266"/>
      <c r="D41" s="266"/>
      <c r="E41" s="266"/>
      <c r="F41" s="266"/>
      <c r="G41" s="266"/>
      <c r="H41" s="266"/>
      <c r="I41" s="266"/>
      <c r="J41" s="266"/>
      <c r="K41" s="264"/>
      <c r="L41" s="264"/>
      <c r="M41" s="266"/>
      <c r="N41" s="266"/>
      <c r="O41" s="266"/>
    </row>
    <row r="42" ht="46.5" customHeight="1" spans="1:15">
      <c r="A42" s="264"/>
      <c r="B42" s="265"/>
      <c r="C42" s="266"/>
      <c r="D42" s="266"/>
      <c r="E42" s="266"/>
      <c r="F42" s="266"/>
      <c r="G42" s="266"/>
      <c r="H42" s="266"/>
      <c r="I42" s="266"/>
      <c r="J42" s="266"/>
      <c r="K42" s="264"/>
      <c r="L42" s="264"/>
      <c r="M42" s="266"/>
      <c r="N42" s="266"/>
      <c r="O42" s="266"/>
    </row>
    <row r="43" ht="30.75" customHeight="1" spans="1:15">
      <c r="A43" s="264"/>
      <c r="B43" s="265"/>
      <c r="C43" s="266"/>
      <c r="D43" s="266"/>
      <c r="E43" s="266"/>
      <c r="F43" s="266"/>
      <c r="G43" s="266"/>
      <c r="H43" s="266"/>
      <c r="I43" s="266"/>
      <c r="J43" s="266"/>
      <c r="K43" s="264"/>
      <c r="L43" s="264"/>
      <c r="M43" s="266"/>
      <c r="N43" s="266"/>
      <c r="O43" s="266"/>
    </row>
    <row r="44" spans="11:15">
      <c r="K44" s="264"/>
      <c r="L44" s="264"/>
      <c r="M44" s="266"/>
      <c r="N44" s="266"/>
      <c r="O44" s="266"/>
    </row>
  </sheetData>
  <mergeCells count="4">
    <mergeCell ref="A2:U2"/>
    <mergeCell ref="A3:U3"/>
    <mergeCell ref="A4:F4"/>
    <mergeCell ref="K4:U4"/>
  </mergeCells>
  <printOptions horizontalCentered="1"/>
  <pageMargins left="0.354330708661417" right="0.511811023622047" top="0.748031496062992" bottom="0.748031496062992" header="0.31496062992126" footer="0.31496062992126"/>
  <pageSetup paperSize="9" scale="6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U66"/>
  <sheetViews>
    <sheetView zoomScale="70" zoomScaleNormal="70" workbookViewId="0">
      <selection activeCell="G10" sqref="G10"/>
    </sheetView>
  </sheetViews>
  <sheetFormatPr defaultColWidth="9" defaultRowHeight="24.95" customHeight="1"/>
  <cols>
    <col min="1" max="1" width="18.75" style="126" customWidth="1"/>
    <col min="2" max="2" width="13.375" style="126" customWidth="1"/>
    <col min="3" max="3" width="14.5" style="126" customWidth="1"/>
    <col min="4" max="4" width="13" style="126" customWidth="1"/>
    <col min="5" max="7" width="15.625" style="126" customWidth="1"/>
    <col min="8" max="8" width="24.125" style="126" customWidth="1"/>
    <col min="9" max="9" width="27" style="126" customWidth="1"/>
    <col min="10" max="10" width="15.25" style="126" customWidth="1"/>
    <col min="11" max="11" width="11.625" style="126" customWidth="1"/>
    <col min="12" max="12" width="13.5" style="126" customWidth="1"/>
    <col min="13" max="13" width="15.25" style="126" customWidth="1"/>
    <col min="14" max="14" width="14.25" style="126" customWidth="1"/>
    <col min="15" max="15" width="17" style="126" customWidth="1"/>
    <col min="16" max="16" width="14.25" style="126" customWidth="1"/>
    <col min="17" max="17" width="13.75" style="126" customWidth="1"/>
    <col min="18" max="18" width="37.625" style="127" customWidth="1"/>
    <col min="19" max="19" width="17" style="126" customWidth="1"/>
    <col min="20" max="20" width="15.625" style="126" customWidth="1"/>
    <col min="21" max="21" width="19.5" style="126" customWidth="1"/>
    <col min="22" max="16384" width="9" style="126"/>
  </cols>
  <sheetData>
    <row r="1" s="123" customFormat="1" ht="42.75" customHeight="1" spans="1:18">
      <c r="A1" s="17" t="s">
        <v>283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91"/>
    </row>
    <row r="2" customHeight="1" spans="1:17">
      <c r="A2" s="128"/>
      <c r="B2" s="128"/>
      <c r="C2" s="129"/>
      <c r="D2" s="130"/>
      <c r="E2" s="131"/>
      <c r="F2" s="128"/>
      <c r="G2" s="128"/>
      <c r="H2" s="128"/>
      <c r="I2" s="128"/>
      <c r="J2" s="128"/>
      <c r="K2" s="128"/>
      <c r="L2" s="128"/>
      <c r="M2" s="128"/>
      <c r="N2" s="128"/>
      <c r="O2" s="130"/>
      <c r="P2" s="130"/>
      <c r="Q2" s="130"/>
    </row>
    <row r="3" customHeight="1" spans="1:18">
      <c r="A3" s="132" t="s">
        <v>223</v>
      </c>
      <c r="B3" s="133"/>
      <c r="C3" s="133"/>
      <c r="D3" s="133"/>
      <c r="E3" s="133"/>
      <c r="F3" s="133"/>
      <c r="G3" s="134"/>
      <c r="H3" s="135"/>
      <c r="I3" s="137" t="s">
        <v>224</v>
      </c>
      <c r="J3" s="137"/>
      <c r="K3" s="137"/>
      <c r="L3" s="137"/>
      <c r="M3" s="137"/>
      <c r="N3" s="137"/>
      <c r="O3" s="137"/>
      <c r="P3" s="137"/>
      <c r="Q3" s="137"/>
      <c r="R3" s="152"/>
    </row>
    <row r="4" ht="39" customHeight="1" spans="1:18">
      <c r="A4" s="136" t="s">
        <v>193</v>
      </c>
      <c r="B4" s="137" t="s">
        <v>284</v>
      </c>
      <c r="C4" s="137" t="s">
        <v>285</v>
      </c>
      <c r="D4" s="137" t="s">
        <v>286</v>
      </c>
      <c r="E4" s="137" t="s">
        <v>287</v>
      </c>
      <c r="F4" s="137" t="s">
        <v>288</v>
      </c>
      <c r="G4" s="137" t="s">
        <v>289</v>
      </c>
      <c r="H4" s="138" t="s">
        <v>17</v>
      </c>
      <c r="I4" s="136" t="s">
        <v>193</v>
      </c>
      <c r="J4" s="137" t="s">
        <v>290</v>
      </c>
      <c r="K4" s="137" t="s">
        <v>291</v>
      </c>
      <c r="L4" s="137" t="s">
        <v>292</v>
      </c>
      <c r="M4" s="137" t="s">
        <v>293</v>
      </c>
      <c r="N4" s="137" t="s">
        <v>294</v>
      </c>
      <c r="O4" s="137" t="s">
        <v>295</v>
      </c>
      <c r="P4" s="137" t="s">
        <v>296</v>
      </c>
      <c r="Q4" s="137" t="s">
        <v>297</v>
      </c>
      <c r="R4" s="192" t="s">
        <v>17</v>
      </c>
    </row>
    <row r="5" ht="21" customHeight="1" spans="1:18">
      <c r="A5" s="139"/>
      <c r="B5" s="137">
        <v>1</v>
      </c>
      <c r="C5" s="137">
        <v>2</v>
      </c>
      <c r="D5" s="137" t="s">
        <v>298</v>
      </c>
      <c r="E5" s="137">
        <v>4</v>
      </c>
      <c r="F5" s="137">
        <v>5</v>
      </c>
      <c r="G5" s="137" t="s">
        <v>299</v>
      </c>
      <c r="H5" s="138"/>
      <c r="I5" s="139"/>
      <c r="J5" s="137">
        <v>7</v>
      </c>
      <c r="K5" s="137">
        <v>8</v>
      </c>
      <c r="L5" s="137">
        <v>9</v>
      </c>
      <c r="M5" s="137" t="s">
        <v>300</v>
      </c>
      <c r="N5" s="137">
        <v>11</v>
      </c>
      <c r="O5" s="137" t="s">
        <v>301</v>
      </c>
      <c r="P5" s="137">
        <v>13</v>
      </c>
      <c r="Q5" s="137">
        <v>14</v>
      </c>
      <c r="R5" s="193"/>
    </row>
    <row r="6" ht="37.5" spans="1:20">
      <c r="A6" s="140" t="s">
        <v>302</v>
      </c>
      <c r="B6" s="141">
        <f>B7+B8+B9</f>
        <v>40678</v>
      </c>
      <c r="C6" s="141">
        <f t="shared" ref="C6:G6" si="0">C7+C8+C9</f>
        <v>70889</v>
      </c>
      <c r="D6" s="141">
        <f t="shared" si="0"/>
        <v>111567</v>
      </c>
      <c r="E6" s="141">
        <f t="shared" si="0"/>
        <v>58321</v>
      </c>
      <c r="F6" s="141">
        <f t="shared" si="0"/>
        <v>30000</v>
      </c>
      <c r="G6" s="141">
        <f t="shared" si="0"/>
        <v>88321</v>
      </c>
      <c r="H6" s="142"/>
      <c r="I6" s="140" t="s">
        <v>303</v>
      </c>
      <c r="J6" s="173">
        <f>SUM(J7:J13)</f>
        <v>49245.9</v>
      </c>
      <c r="K6" s="173">
        <f t="shared" ref="K6:M6" si="1">SUM(K7:K13)</f>
        <v>0</v>
      </c>
      <c r="L6" s="173">
        <f t="shared" si="1"/>
        <v>0</v>
      </c>
      <c r="M6" s="173">
        <f t="shared" si="1"/>
        <v>49245.9</v>
      </c>
      <c r="N6" s="173">
        <f t="shared" ref="N6" si="2">SUM(N7:N13)</f>
        <v>0</v>
      </c>
      <c r="O6" s="173">
        <f t="shared" ref="O6:Q6" si="3">SUM(O7:O13)</f>
        <v>44165.9</v>
      </c>
      <c r="P6" s="173">
        <f t="shared" si="3"/>
        <v>49246</v>
      </c>
      <c r="Q6" s="173">
        <f t="shared" si="3"/>
        <v>0</v>
      </c>
      <c r="R6" s="194" t="s">
        <v>304</v>
      </c>
      <c r="T6" s="190"/>
    </row>
    <row r="7" ht="114" spans="1:20">
      <c r="A7" s="140" t="s">
        <v>305</v>
      </c>
      <c r="B7" s="143">
        <v>40678</v>
      </c>
      <c r="C7" s="143">
        <v>66889</v>
      </c>
      <c r="D7" s="141">
        <f>B7+C7</f>
        <v>107567</v>
      </c>
      <c r="E7" s="143">
        <f>B7+C7-P7-P8-P9-P10-P11-P12-P13</f>
        <v>58321</v>
      </c>
      <c r="F7" s="144">
        <v>30000</v>
      </c>
      <c r="G7" s="145">
        <f>E7+F7</f>
        <v>88321</v>
      </c>
      <c r="H7" s="142"/>
      <c r="I7" s="140" t="s">
        <v>306</v>
      </c>
      <c r="J7" s="173">
        <v>2000</v>
      </c>
      <c r="K7" s="174"/>
      <c r="L7" s="175"/>
      <c r="M7" s="173">
        <f>J7+K7+L7</f>
        <v>2000</v>
      </c>
      <c r="N7" s="175"/>
      <c r="O7" s="173">
        <f>M7+N7</f>
        <v>2000</v>
      </c>
      <c r="P7" s="175">
        <v>2000</v>
      </c>
      <c r="Q7" s="195"/>
      <c r="R7" s="196" t="s">
        <v>307</v>
      </c>
      <c r="T7" s="190"/>
    </row>
    <row r="8" ht="142.5" spans="1:20">
      <c r="A8" s="140" t="s">
        <v>308</v>
      </c>
      <c r="B8" s="143"/>
      <c r="C8" s="143">
        <v>4000</v>
      </c>
      <c r="D8" s="141">
        <f>B8+C8</f>
        <v>4000</v>
      </c>
      <c r="E8" s="143">
        <f>O11-P11</f>
        <v>0</v>
      </c>
      <c r="F8" s="144"/>
      <c r="G8" s="145">
        <f>E8+F8</f>
        <v>0</v>
      </c>
      <c r="H8" s="142"/>
      <c r="I8" s="140" t="s">
        <v>309</v>
      </c>
      <c r="J8" s="173">
        <v>6778.9</v>
      </c>
      <c r="K8" s="174"/>
      <c r="L8" s="175"/>
      <c r="M8" s="173">
        <f t="shared" ref="M8:M18" si="4">J8+K8+L8</f>
        <v>6778.9</v>
      </c>
      <c r="N8" s="175"/>
      <c r="O8" s="173">
        <f t="shared" ref="O8:O22" si="5">M8+N8</f>
        <v>6778.9</v>
      </c>
      <c r="P8" s="175">
        <v>6779</v>
      </c>
      <c r="Q8" s="197"/>
      <c r="R8" s="196" t="s">
        <v>310</v>
      </c>
      <c r="T8" s="190"/>
    </row>
    <row r="9" ht="142.5" spans="1:18">
      <c r="A9" s="140"/>
      <c r="B9" s="143"/>
      <c r="C9" s="143"/>
      <c r="D9" s="143"/>
      <c r="E9" s="143"/>
      <c r="F9" s="144"/>
      <c r="G9" s="144"/>
      <c r="H9" s="142"/>
      <c r="I9" s="140" t="s">
        <v>311</v>
      </c>
      <c r="J9" s="173">
        <v>7749</v>
      </c>
      <c r="K9" s="174"/>
      <c r="L9" s="175"/>
      <c r="M9" s="173">
        <f t="shared" si="4"/>
        <v>7749</v>
      </c>
      <c r="N9" s="175"/>
      <c r="O9" s="173">
        <f t="shared" si="5"/>
        <v>7749</v>
      </c>
      <c r="P9" s="175">
        <v>7749</v>
      </c>
      <c r="Q9" s="197"/>
      <c r="R9" s="196" t="s">
        <v>312</v>
      </c>
    </row>
    <row r="10" ht="28.5" spans="1:20">
      <c r="A10" s="140"/>
      <c r="B10" s="143"/>
      <c r="C10" s="143"/>
      <c r="D10" s="143"/>
      <c r="E10" s="143"/>
      <c r="F10" s="144"/>
      <c r="G10" s="144"/>
      <c r="H10" s="142"/>
      <c r="I10" s="140" t="s">
        <v>313</v>
      </c>
      <c r="J10" s="175">
        <v>0</v>
      </c>
      <c r="K10" s="174"/>
      <c r="L10" s="175"/>
      <c r="M10" s="173">
        <f t="shared" si="4"/>
        <v>0</v>
      </c>
      <c r="N10" s="175"/>
      <c r="O10" s="173">
        <f t="shared" si="5"/>
        <v>0</v>
      </c>
      <c r="P10" s="175"/>
      <c r="Q10" s="195"/>
      <c r="R10" s="196" t="s">
        <v>314</v>
      </c>
      <c r="T10" s="190"/>
    </row>
    <row r="11" ht="199.5" spans="1:20">
      <c r="A11" s="140"/>
      <c r="B11" s="143"/>
      <c r="C11" s="143"/>
      <c r="D11" s="143"/>
      <c r="E11" s="143"/>
      <c r="F11" s="144"/>
      <c r="G11" s="144"/>
      <c r="H11" s="142"/>
      <c r="I11" s="140" t="s">
        <v>315</v>
      </c>
      <c r="J11" s="173">
        <v>9638</v>
      </c>
      <c r="K11" s="174"/>
      <c r="L11" s="175"/>
      <c r="M11" s="173">
        <f t="shared" si="4"/>
        <v>9638</v>
      </c>
      <c r="N11" s="175"/>
      <c r="O11" s="173">
        <f t="shared" si="5"/>
        <v>9638</v>
      </c>
      <c r="P11" s="175">
        <v>9638</v>
      </c>
      <c r="Q11" s="197"/>
      <c r="R11" s="196" t="s">
        <v>316</v>
      </c>
      <c r="T11" s="190">
        <f>T7-T8-T9-T10</f>
        <v>0</v>
      </c>
    </row>
    <row r="12" ht="114" spans="1:18">
      <c r="A12" s="140"/>
      <c r="B12" s="143"/>
      <c r="C12" s="143"/>
      <c r="D12" s="143"/>
      <c r="E12" s="143"/>
      <c r="F12" s="144"/>
      <c r="G12" s="144"/>
      <c r="H12" s="142"/>
      <c r="I12" s="140" t="s">
        <v>317</v>
      </c>
      <c r="J12" s="173">
        <v>5080</v>
      </c>
      <c r="K12" s="174"/>
      <c r="L12" s="175"/>
      <c r="M12" s="173">
        <f t="shared" si="4"/>
        <v>5080</v>
      </c>
      <c r="N12" s="175"/>
      <c r="O12" s="173"/>
      <c r="P12" s="175">
        <v>5080</v>
      </c>
      <c r="Q12" s="197"/>
      <c r="R12" s="196" t="s">
        <v>318</v>
      </c>
    </row>
    <row r="13" ht="156.75" spans="1:18">
      <c r="A13" s="140"/>
      <c r="B13" s="143"/>
      <c r="C13" s="143"/>
      <c r="D13" s="143"/>
      <c r="E13" s="143"/>
      <c r="F13" s="144"/>
      <c r="G13" s="144"/>
      <c r="H13" s="142"/>
      <c r="I13" s="140" t="s">
        <v>319</v>
      </c>
      <c r="J13" s="173">
        <v>18000</v>
      </c>
      <c r="K13" s="174"/>
      <c r="L13" s="175"/>
      <c r="M13" s="173">
        <f t="shared" si="4"/>
        <v>18000</v>
      </c>
      <c r="N13" s="175"/>
      <c r="O13" s="173">
        <f t="shared" si="5"/>
        <v>18000</v>
      </c>
      <c r="P13" s="175">
        <v>18000</v>
      </c>
      <c r="Q13" s="197"/>
      <c r="R13" s="196" t="s">
        <v>320</v>
      </c>
    </row>
    <row r="14" ht="85.5" spans="1:18">
      <c r="A14" s="140" t="s">
        <v>321</v>
      </c>
      <c r="B14" s="143">
        <v>1862</v>
      </c>
      <c r="C14" s="146">
        <v>0</v>
      </c>
      <c r="D14" s="141">
        <f t="shared" ref="D14:D20" si="6">B14+C14</f>
        <v>1862</v>
      </c>
      <c r="E14" s="141">
        <f>D14-P14</f>
        <v>1842</v>
      </c>
      <c r="F14" s="147">
        <v>0</v>
      </c>
      <c r="G14" s="145">
        <f t="shared" ref="G14:G20" si="7">E14+F14</f>
        <v>1842</v>
      </c>
      <c r="H14" s="142"/>
      <c r="I14" s="140" t="s">
        <v>322</v>
      </c>
      <c r="J14" s="173">
        <v>20</v>
      </c>
      <c r="K14" s="174"/>
      <c r="L14" s="175"/>
      <c r="M14" s="173">
        <f t="shared" si="4"/>
        <v>20</v>
      </c>
      <c r="N14" s="175"/>
      <c r="O14" s="173">
        <f t="shared" si="5"/>
        <v>20</v>
      </c>
      <c r="P14" s="175">
        <v>20</v>
      </c>
      <c r="Q14" s="198"/>
      <c r="R14" s="196" t="s">
        <v>323</v>
      </c>
    </row>
    <row r="15" ht="71.25" spans="1:18">
      <c r="A15" s="140" t="s">
        <v>324</v>
      </c>
      <c r="B15" s="143">
        <v>685</v>
      </c>
      <c r="C15" s="143"/>
      <c r="D15" s="141">
        <f t="shared" si="6"/>
        <v>685</v>
      </c>
      <c r="E15" s="141">
        <f>D15-P15</f>
        <v>685</v>
      </c>
      <c r="F15" s="147">
        <v>0</v>
      </c>
      <c r="G15" s="145">
        <f t="shared" si="7"/>
        <v>685</v>
      </c>
      <c r="H15" s="142"/>
      <c r="I15" s="176" t="s">
        <v>325</v>
      </c>
      <c r="J15" s="175">
        <v>0</v>
      </c>
      <c r="K15" s="177"/>
      <c r="L15" s="175"/>
      <c r="M15" s="173">
        <f t="shared" si="4"/>
        <v>0</v>
      </c>
      <c r="N15" s="175"/>
      <c r="O15" s="173">
        <f t="shared" si="5"/>
        <v>0</v>
      </c>
      <c r="P15" s="175"/>
      <c r="Q15" s="197"/>
      <c r="R15" s="196" t="s">
        <v>326</v>
      </c>
    </row>
    <row r="16" ht="28.5" spans="1:18">
      <c r="A16" s="140" t="s">
        <v>327</v>
      </c>
      <c r="B16" s="141">
        <f>B17+B18</f>
        <v>1122</v>
      </c>
      <c r="C16" s="143">
        <f>C17+C18</f>
        <v>940.5</v>
      </c>
      <c r="D16" s="141">
        <f t="shared" si="6"/>
        <v>2062.5</v>
      </c>
      <c r="E16" s="141">
        <f>D16-P16</f>
        <v>1225.5</v>
      </c>
      <c r="F16" s="141">
        <f>F17+F18</f>
        <v>936.72</v>
      </c>
      <c r="G16" s="145">
        <f t="shared" si="7"/>
        <v>2162.22</v>
      </c>
      <c r="H16" s="142"/>
      <c r="I16" s="176" t="s">
        <v>328</v>
      </c>
      <c r="J16" s="173">
        <v>837</v>
      </c>
      <c r="K16" s="175">
        <f t="shared" ref="K16:Q16" si="8">K17+K18</f>
        <v>0</v>
      </c>
      <c r="L16" s="175">
        <f t="shared" si="8"/>
        <v>0</v>
      </c>
      <c r="M16" s="173">
        <f t="shared" si="8"/>
        <v>0</v>
      </c>
      <c r="N16" s="173">
        <f t="shared" si="8"/>
        <v>0</v>
      </c>
      <c r="O16" s="173">
        <f t="shared" si="8"/>
        <v>0</v>
      </c>
      <c r="P16" s="173">
        <f t="shared" si="8"/>
        <v>837</v>
      </c>
      <c r="Q16" s="173">
        <f t="shared" si="8"/>
        <v>0</v>
      </c>
      <c r="R16" s="196"/>
    </row>
    <row r="17" ht="114" spans="1:21">
      <c r="A17" s="140" t="s">
        <v>329</v>
      </c>
      <c r="B17" s="143">
        <v>1122</v>
      </c>
      <c r="C17" s="143">
        <f>828.1</f>
        <v>828.1</v>
      </c>
      <c r="D17" s="141">
        <f t="shared" si="6"/>
        <v>1950.1</v>
      </c>
      <c r="E17" s="141">
        <f>D17-P17</f>
        <v>1113.1</v>
      </c>
      <c r="F17" s="148">
        <v>819.72</v>
      </c>
      <c r="G17" s="145">
        <f t="shared" si="7"/>
        <v>1932.82</v>
      </c>
      <c r="H17" s="149" t="s">
        <v>330</v>
      </c>
      <c r="I17" s="176" t="s">
        <v>331</v>
      </c>
      <c r="J17" s="175"/>
      <c r="K17" s="177"/>
      <c r="L17" s="175"/>
      <c r="M17" s="173">
        <f t="shared" si="4"/>
        <v>0</v>
      </c>
      <c r="N17" s="175"/>
      <c r="O17" s="173">
        <f t="shared" si="5"/>
        <v>0</v>
      </c>
      <c r="P17" s="175">
        <v>837</v>
      </c>
      <c r="Q17" s="197"/>
      <c r="R17" s="196" t="s">
        <v>332</v>
      </c>
      <c r="T17" s="188"/>
      <c r="U17" s="189"/>
    </row>
    <row r="18" ht="85.5" spans="1:18">
      <c r="A18" s="140" t="s">
        <v>333</v>
      </c>
      <c r="B18" s="146">
        <v>0</v>
      </c>
      <c r="C18" s="143">
        <f>C19+C20</f>
        <v>112.4</v>
      </c>
      <c r="D18" s="141">
        <f t="shared" si="6"/>
        <v>112.4</v>
      </c>
      <c r="E18" s="141">
        <f>E19+E20</f>
        <v>0</v>
      </c>
      <c r="F18" s="148">
        <v>117</v>
      </c>
      <c r="G18" s="145">
        <f t="shared" si="7"/>
        <v>117</v>
      </c>
      <c r="H18" s="149" t="s">
        <v>334</v>
      </c>
      <c r="I18" s="176" t="s">
        <v>335</v>
      </c>
      <c r="J18" s="175"/>
      <c r="K18" s="177"/>
      <c r="L18" s="175"/>
      <c r="M18" s="173">
        <f t="shared" si="4"/>
        <v>0</v>
      </c>
      <c r="N18" s="175"/>
      <c r="O18" s="173">
        <f t="shared" si="5"/>
        <v>0</v>
      </c>
      <c r="P18" s="175"/>
      <c r="Q18" s="197"/>
      <c r="R18" s="196" t="s">
        <v>336</v>
      </c>
    </row>
    <row r="19" ht="42.75" spans="1:18">
      <c r="A19" s="140" t="s">
        <v>337</v>
      </c>
      <c r="B19" s="146">
        <v>0</v>
      </c>
      <c r="C19" s="143">
        <v>52</v>
      </c>
      <c r="D19" s="141">
        <f t="shared" si="6"/>
        <v>52</v>
      </c>
      <c r="E19" s="143"/>
      <c r="F19" s="148">
        <v>117</v>
      </c>
      <c r="G19" s="145">
        <f t="shared" si="7"/>
        <v>117</v>
      </c>
      <c r="H19" s="142" t="s">
        <v>338</v>
      </c>
      <c r="I19" s="176" t="s">
        <v>339</v>
      </c>
      <c r="J19" s="178">
        <f>J20+J21+J22</f>
        <v>35249</v>
      </c>
      <c r="K19" s="179">
        <f t="shared" ref="K19" si="9">K20+K21+K22</f>
        <v>0</v>
      </c>
      <c r="L19" s="173">
        <f t="shared" ref="L19:Q19" si="10">L20+L21+L22</f>
        <v>0</v>
      </c>
      <c r="M19" s="173">
        <f t="shared" si="10"/>
        <v>35249</v>
      </c>
      <c r="N19" s="173">
        <f t="shared" si="10"/>
        <v>0</v>
      </c>
      <c r="O19" s="173">
        <f t="shared" si="10"/>
        <v>35249</v>
      </c>
      <c r="P19" s="173">
        <f t="shared" si="10"/>
        <v>35249</v>
      </c>
      <c r="Q19" s="199">
        <f t="shared" si="10"/>
        <v>93010.22</v>
      </c>
      <c r="R19" s="200"/>
    </row>
    <row r="20" ht="28.5" spans="1:18">
      <c r="A20" s="140" t="s">
        <v>340</v>
      </c>
      <c r="B20" s="146">
        <v>0</v>
      </c>
      <c r="C20" s="143">
        <v>60.4</v>
      </c>
      <c r="D20" s="141">
        <f t="shared" si="6"/>
        <v>60.4</v>
      </c>
      <c r="E20" s="143"/>
      <c r="F20" s="150"/>
      <c r="G20" s="145">
        <f t="shared" si="7"/>
        <v>0</v>
      </c>
      <c r="H20" s="151" t="s">
        <v>341</v>
      </c>
      <c r="I20" s="176" t="s">
        <v>342</v>
      </c>
      <c r="J20" s="179">
        <v>0</v>
      </c>
      <c r="K20" s="177"/>
      <c r="L20" s="175"/>
      <c r="M20" s="173">
        <f>J20+K20+L20</f>
        <v>0</v>
      </c>
      <c r="N20" s="175"/>
      <c r="O20" s="173">
        <f>M20+N20</f>
        <v>0</v>
      </c>
      <c r="P20" s="175">
        <v>0</v>
      </c>
      <c r="Q20" s="197"/>
      <c r="R20" s="200"/>
    </row>
    <row r="21" ht="35.1" customHeight="1" spans="1:18">
      <c r="A21" s="152"/>
      <c r="B21" s="153"/>
      <c r="C21" s="153"/>
      <c r="D21" s="153"/>
      <c r="E21" s="153"/>
      <c r="F21" s="153"/>
      <c r="G21" s="153"/>
      <c r="H21" s="142"/>
      <c r="I21" s="176" t="s">
        <v>264</v>
      </c>
      <c r="J21" s="178">
        <v>15000</v>
      </c>
      <c r="K21" s="177"/>
      <c r="L21" s="175"/>
      <c r="M21" s="173">
        <f>J21+K21+L21</f>
        <v>15000</v>
      </c>
      <c r="N21" s="175"/>
      <c r="O21" s="173">
        <f t="shared" si="5"/>
        <v>15000</v>
      </c>
      <c r="P21" s="175">
        <v>15000</v>
      </c>
      <c r="Q21" s="197"/>
      <c r="R21" s="201" t="s">
        <v>343</v>
      </c>
    </row>
    <row r="22" ht="35.1" customHeight="1" spans="1:18">
      <c r="A22" s="154"/>
      <c r="B22" s="153"/>
      <c r="C22" s="153"/>
      <c r="D22" s="153"/>
      <c r="E22" s="153"/>
      <c r="F22" s="153"/>
      <c r="G22" s="153"/>
      <c r="H22" s="142"/>
      <c r="I22" s="176" t="s">
        <v>266</v>
      </c>
      <c r="J22" s="178">
        <v>20249</v>
      </c>
      <c r="K22" s="177"/>
      <c r="L22" s="175"/>
      <c r="M22" s="173">
        <f>J22+K22+L22</f>
        <v>20249</v>
      </c>
      <c r="N22" s="175"/>
      <c r="O22" s="173">
        <f t="shared" si="5"/>
        <v>20249</v>
      </c>
      <c r="P22" s="175">
        <v>20249</v>
      </c>
      <c r="Q22" s="199">
        <f>Q23-Q6-Q14-Q16-Q21</f>
        <v>93010.22</v>
      </c>
      <c r="R22" s="200"/>
    </row>
    <row r="23" ht="35.1" customHeight="1" spans="1:18">
      <c r="A23" s="155" t="s">
        <v>162</v>
      </c>
      <c r="B23" s="156">
        <f>B6+B14+B15+B16</f>
        <v>44347</v>
      </c>
      <c r="C23" s="156">
        <f t="shared" ref="C23:G23" si="11">C6+C14+C15+C16</f>
        <v>71829.5</v>
      </c>
      <c r="D23" s="156">
        <f t="shared" si="11"/>
        <v>116176.5</v>
      </c>
      <c r="E23" s="156">
        <f t="shared" si="11"/>
        <v>62073.5</v>
      </c>
      <c r="F23" s="156">
        <f t="shared" si="11"/>
        <v>30936.72</v>
      </c>
      <c r="G23" s="156">
        <f t="shared" si="11"/>
        <v>93010.22</v>
      </c>
      <c r="H23" s="157"/>
      <c r="I23" s="180" t="s">
        <v>282</v>
      </c>
      <c r="J23" s="181">
        <f t="shared" ref="J23:P23" si="12">J6+J14+J15+J16+J19</f>
        <v>85351.9</v>
      </c>
      <c r="K23" s="181">
        <f t="shared" si="12"/>
        <v>0</v>
      </c>
      <c r="L23" s="173">
        <f t="shared" si="12"/>
        <v>0</v>
      </c>
      <c r="M23" s="182">
        <f t="shared" si="12"/>
        <v>84514.9</v>
      </c>
      <c r="N23" s="182">
        <f t="shared" si="12"/>
        <v>0</v>
      </c>
      <c r="O23" s="182">
        <f t="shared" si="12"/>
        <v>79434.9</v>
      </c>
      <c r="P23" s="182">
        <f t="shared" si="12"/>
        <v>85352</v>
      </c>
      <c r="Q23" s="202">
        <f>G23</f>
        <v>93010.22</v>
      </c>
      <c r="R23" s="200"/>
    </row>
    <row r="24" hidden="1" customHeight="1" spans="1:18">
      <c r="A24" s="158" t="s">
        <v>255</v>
      </c>
      <c r="B24" s="158"/>
      <c r="C24" s="158"/>
      <c r="D24" s="158"/>
      <c r="E24" s="158"/>
      <c r="F24" s="159"/>
      <c r="G24" s="159"/>
      <c r="H24" s="159"/>
      <c r="I24" s="183" t="s">
        <v>256</v>
      </c>
      <c r="J24" s="183"/>
      <c r="K24" s="183"/>
      <c r="L24" s="183"/>
      <c r="M24" s="183"/>
      <c r="N24" s="183"/>
      <c r="O24" s="183"/>
      <c r="P24" s="183"/>
      <c r="Q24" s="159">
        <v>78500</v>
      </c>
      <c r="R24" s="196"/>
    </row>
    <row r="25" hidden="1" customHeight="1" spans="1:18">
      <c r="A25" s="160" t="s">
        <v>344</v>
      </c>
      <c r="B25" s="160"/>
      <c r="C25" s="160"/>
      <c r="D25" s="160"/>
      <c r="E25" s="160"/>
      <c r="F25" s="161"/>
      <c r="G25" s="161"/>
      <c r="H25" s="161"/>
      <c r="I25" s="184" t="s">
        <v>345</v>
      </c>
      <c r="J25" s="184"/>
      <c r="K25" s="184"/>
      <c r="L25" s="184"/>
      <c r="M25" s="184"/>
      <c r="N25" s="184"/>
      <c r="O25" s="184"/>
      <c r="P25" s="184"/>
      <c r="Q25" s="151"/>
      <c r="R25" s="196"/>
    </row>
    <row r="26" hidden="1" customHeight="1" spans="1:18">
      <c r="A26" s="160" t="s">
        <v>346</v>
      </c>
      <c r="B26" s="160"/>
      <c r="C26" s="160"/>
      <c r="D26" s="160"/>
      <c r="E26" s="160"/>
      <c r="F26" s="161"/>
      <c r="G26" s="161"/>
      <c r="H26" s="161"/>
      <c r="I26" s="184" t="s">
        <v>342</v>
      </c>
      <c r="J26" s="184"/>
      <c r="K26" s="184"/>
      <c r="L26" s="184"/>
      <c r="M26" s="184"/>
      <c r="N26" s="184"/>
      <c r="O26" s="184"/>
      <c r="P26" s="184"/>
      <c r="Q26" s="151"/>
      <c r="R26" s="196"/>
    </row>
    <row r="27" hidden="1" customHeight="1" spans="1:18">
      <c r="A27" s="160" t="s">
        <v>347</v>
      </c>
      <c r="B27" s="160"/>
      <c r="C27" s="160"/>
      <c r="D27" s="160"/>
      <c r="E27" s="160"/>
      <c r="F27" s="151"/>
      <c r="G27" s="151"/>
      <c r="H27" s="151"/>
      <c r="I27" s="184" t="s">
        <v>348</v>
      </c>
      <c r="J27" s="184"/>
      <c r="K27" s="184"/>
      <c r="L27" s="184"/>
      <c r="M27" s="184"/>
      <c r="N27" s="184"/>
      <c r="O27" s="184"/>
      <c r="P27" s="184"/>
      <c r="Q27" s="151"/>
      <c r="R27" s="196"/>
    </row>
    <row r="28" hidden="1" customHeight="1" spans="1:18">
      <c r="A28" s="160" t="s">
        <v>349</v>
      </c>
      <c r="B28" s="160"/>
      <c r="C28" s="160"/>
      <c r="D28" s="160"/>
      <c r="E28" s="160"/>
      <c r="F28" s="161"/>
      <c r="G28" s="161"/>
      <c r="H28" s="161"/>
      <c r="I28" s="184" t="s">
        <v>350</v>
      </c>
      <c r="J28" s="184"/>
      <c r="K28" s="184"/>
      <c r="L28" s="184"/>
      <c r="M28" s="184"/>
      <c r="N28" s="184"/>
      <c r="O28" s="184"/>
      <c r="P28" s="184"/>
      <c r="Q28" s="161">
        <v>37000</v>
      </c>
      <c r="R28" s="196"/>
    </row>
    <row r="29" hidden="1" customHeight="1" spans="1:18">
      <c r="A29" s="160" t="s">
        <v>351</v>
      </c>
      <c r="B29" s="160"/>
      <c r="C29" s="160"/>
      <c r="D29" s="160"/>
      <c r="E29" s="160"/>
      <c r="F29" s="151"/>
      <c r="G29" s="151"/>
      <c r="H29" s="151"/>
      <c r="I29" s="184" t="s">
        <v>352</v>
      </c>
      <c r="J29" s="184"/>
      <c r="K29" s="184"/>
      <c r="L29" s="184"/>
      <c r="M29" s="184"/>
      <c r="N29" s="184"/>
      <c r="O29" s="184"/>
      <c r="P29" s="184"/>
      <c r="Q29" s="161">
        <v>41500</v>
      </c>
      <c r="R29" s="196"/>
    </row>
    <row r="30" hidden="1" customHeight="1" spans="1:18">
      <c r="A30" s="160" t="s">
        <v>353</v>
      </c>
      <c r="B30" s="160"/>
      <c r="C30" s="160"/>
      <c r="D30" s="160"/>
      <c r="E30" s="160"/>
      <c r="F30" s="151"/>
      <c r="G30" s="151"/>
      <c r="H30" s="151"/>
      <c r="I30" s="184" t="s">
        <v>354</v>
      </c>
      <c r="J30" s="184"/>
      <c r="K30" s="184"/>
      <c r="L30" s="184"/>
      <c r="M30" s="184"/>
      <c r="N30" s="184"/>
      <c r="O30" s="184"/>
      <c r="P30" s="184"/>
      <c r="Q30" s="151"/>
      <c r="R30" s="196"/>
    </row>
    <row r="31" hidden="1" customHeight="1" spans="1:18">
      <c r="A31" s="160" t="s">
        <v>355</v>
      </c>
      <c r="B31" s="160"/>
      <c r="C31" s="160"/>
      <c r="D31" s="160"/>
      <c r="E31" s="160"/>
      <c r="F31" s="151"/>
      <c r="G31" s="151"/>
      <c r="H31" s="151"/>
      <c r="I31" s="184" t="s">
        <v>356</v>
      </c>
      <c r="J31" s="184"/>
      <c r="K31" s="184"/>
      <c r="L31" s="184"/>
      <c r="M31" s="184"/>
      <c r="N31" s="184"/>
      <c r="O31" s="184"/>
      <c r="P31" s="184"/>
      <c r="Q31" s="151"/>
      <c r="R31" s="196"/>
    </row>
    <row r="32" hidden="1" customHeight="1" spans="1:18">
      <c r="A32" s="160" t="s">
        <v>357</v>
      </c>
      <c r="B32" s="160"/>
      <c r="C32" s="160"/>
      <c r="D32" s="160"/>
      <c r="E32" s="160"/>
      <c r="F32" s="151"/>
      <c r="G32" s="151"/>
      <c r="H32" s="151"/>
      <c r="I32" s="184"/>
      <c r="J32" s="184"/>
      <c r="K32" s="184"/>
      <c r="L32" s="184"/>
      <c r="M32" s="184"/>
      <c r="N32" s="184"/>
      <c r="O32" s="184"/>
      <c r="P32" s="184"/>
      <c r="Q32" s="151"/>
      <c r="R32" s="196"/>
    </row>
    <row r="33" hidden="1" customHeight="1" spans="1:18">
      <c r="A33" s="162" t="s">
        <v>162</v>
      </c>
      <c r="B33" s="162"/>
      <c r="C33" s="162"/>
      <c r="D33" s="162"/>
      <c r="E33" s="162"/>
      <c r="F33" s="159"/>
      <c r="G33" s="159"/>
      <c r="H33" s="159"/>
      <c r="I33" s="185" t="s">
        <v>282</v>
      </c>
      <c r="J33" s="185"/>
      <c r="K33" s="185"/>
      <c r="L33" s="185"/>
      <c r="M33" s="185"/>
      <c r="N33" s="185"/>
      <c r="O33" s="185"/>
      <c r="P33" s="185"/>
      <c r="Q33" s="159">
        <v>130800</v>
      </c>
      <c r="R33" s="196"/>
    </row>
    <row r="34" customHeight="1" spans="5:5">
      <c r="E34" s="163"/>
    </row>
    <row r="35" customHeight="1" spans="13:17">
      <c r="M35" s="186"/>
      <c r="O35" s="186"/>
      <c r="Q35" s="186"/>
    </row>
    <row r="36" customHeight="1" spans="1:15">
      <c r="A36" s="126" t="s">
        <v>358</v>
      </c>
      <c r="O36" s="163"/>
    </row>
    <row r="37" s="124" customFormat="1" ht="40.5" customHeight="1" spans="1:18">
      <c r="A37" s="164"/>
      <c r="B37" s="165"/>
      <c r="C37" s="165"/>
      <c r="D37" s="165"/>
      <c r="E37" s="165"/>
      <c r="J37" s="187"/>
      <c r="R37" s="127"/>
    </row>
    <row r="38" s="125" customFormat="1" customHeight="1" spans="1:21">
      <c r="A38" s="166" t="s">
        <v>302</v>
      </c>
      <c r="B38" s="167">
        <f>C6</f>
        <v>70889</v>
      </c>
      <c r="C38" s="168">
        <f>B38*30%</f>
        <v>21266.7</v>
      </c>
      <c r="D38" s="167">
        <f>E6</f>
        <v>58321</v>
      </c>
      <c r="E38" s="167"/>
      <c r="O38" s="188"/>
      <c r="P38" s="188"/>
      <c r="Q38" s="188"/>
      <c r="R38" s="203"/>
      <c r="S38" s="189"/>
      <c r="T38" s="188"/>
      <c r="U38" s="189"/>
    </row>
    <row r="39" s="125" customFormat="1" customHeight="1" spans="1:21">
      <c r="A39" s="169" t="s">
        <v>305</v>
      </c>
      <c r="B39" s="167">
        <f>C7</f>
        <v>66889</v>
      </c>
      <c r="C39" s="168">
        <f t="shared" ref="C39:C47" si="13">B39*30%</f>
        <v>20066.7</v>
      </c>
      <c r="D39" s="167">
        <f>E7</f>
        <v>58321</v>
      </c>
      <c r="E39" s="167">
        <f>D39-C39</f>
        <v>38254.3</v>
      </c>
      <c r="O39" s="188"/>
      <c r="P39" s="189"/>
      <c r="Q39" s="188"/>
      <c r="R39" s="204"/>
      <c r="S39" s="188"/>
      <c r="T39" s="188"/>
      <c r="U39" s="188"/>
    </row>
    <row r="40" customHeight="1" spans="1:15">
      <c r="A40" s="170" t="s">
        <v>308</v>
      </c>
      <c r="B40" s="167">
        <f>C8</f>
        <v>4000</v>
      </c>
      <c r="C40" s="168">
        <f t="shared" si="13"/>
        <v>1200</v>
      </c>
      <c r="D40" s="167">
        <f>E8</f>
        <v>0</v>
      </c>
      <c r="E40" s="167"/>
      <c r="O40" s="190"/>
    </row>
    <row r="41" customHeight="1" spans="1:19">
      <c r="A41" s="170" t="s">
        <v>321</v>
      </c>
      <c r="B41" s="167">
        <f t="shared" ref="B41:B47" si="14">C14</f>
        <v>0</v>
      </c>
      <c r="C41" s="168">
        <f t="shared" si="13"/>
        <v>0</v>
      </c>
      <c r="D41" s="167">
        <f t="shared" ref="D41:D47" si="15">E14</f>
        <v>1842</v>
      </c>
      <c r="E41" s="167">
        <f>D41</f>
        <v>1842</v>
      </c>
      <c r="O41" s="190"/>
      <c r="S41" s="205"/>
    </row>
    <row r="42" customHeight="1" spans="1:18">
      <c r="A42" s="170" t="s">
        <v>324</v>
      </c>
      <c r="B42" s="167">
        <f t="shared" si="14"/>
        <v>0</v>
      </c>
      <c r="C42" s="168">
        <f t="shared" si="13"/>
        <v>0</v>
      </c>
      <c r="D42" s="167">
        <f t="shared" si="15"/>
        <v>685</v>
      </c>
      <c r="E42" s="167">
        <f>D42-C42</f>
        <v>685</v>
      </c>
      <c r="O42" s="190"/>
      <c r="R42" s="206"/>
    </row>
    <row r="43" customHeight="1" spans="1:15">
      <c r="A43" s="170" t="s">
        <v>327</v>
      </c>
      <c r="B43" s="167">
        <f t="shared" si="14"/>
        <v>940.5</v>
      </c>
      <c r="C43" s="168">
        <f t="shared" si="13"/>
        <v>282.15</v>
      </c>
      <c r="D43" s="167">
        <f t="shared" si="15"/>
        <v>1225.5</v>
      </c>
      <c r="E43" s="167"/>
      <c r="O43" s="190"/>
    </row>
    <row r="44" customHeight="1" spans="1:15">
      <c r="A44" s="170" t="s">
        <v>329</v>
      </c>
      <c r="B44" s="167">
        <f t="shared" si="14"/>
        <v>828.1</v>
      </c>
      <c r="C44" s="168">
        <f t="shared" si="13"/>
        <v>248.43</v>
      </c>
      <c r="D44" s="167">
        <f t="shared" si="15"/>
        <v>1113.1</v>
      </c>
      <c r="E44" s="167">
        <f>D44-C44</f>
        <v>864.67</v>
      </c>
      <c r="O44" s="190"/>
    </row>
    <row r="45" customHeight="1" spans="1:15">
      <c r="A45" s="170" t="s">
        <v>333</v>
      </c>
      <c r="B45" s="167">
        <f t="shared" si="14"/>
        <v>112.4</v>
      </c>
      <c r="C45" s="168">
        <f t="shared" si="13"/>
        <v>33.72</v>
      </c>
      <c r="D45" s="167">
        <f t="shared" si="15"/>
        <v>0</v>
      </c>
      <c r="E45" s="167"/>
      <c r="O45" s="190"/>
    </row>
    <row r="46" customHeight="1" spans="1:15">
      <c r="A46" s="170" t="s">
        <v>337</v>
      </c>
      <c r="B46" s="167">
        <f t="shared" si="14"/>
        <v>52</v>
      </c>
      <c r="C46" s="168">
        <f t="shared" si="13"/>
        <v>15.6</v>
      </c>
      <c r="D46" s="167">
        <f t="shared" si="15"/>
        <v>0</v>
      </c>
      <c r="E46" s="167"/>
      <c r="O46" s="190"/>
    </row>
    <row r="47" customHeight="1" spans="1:15">
      <c r="A47" s="170" t="s">
        <v>340</v>
      </c>
      <c r="B47" s="167">
        <f t="shared" si="14"/>
        <v>60.4</v>
      </c>
      <c r="C47" s="168">
        <f t="shared" si="13"/>
        <v>18.12</v>
      </c>
      <c r="D47" s="167">
        <f t="shared" si="15"/>
        <v>0</v>
      </c>
      <c r="E47" s="167"/>
      <c r="O47" s="190"/>
    </row>
    <row r="48" customHeight="1" spans="1:15">
      <c r="A48" s="170" t="s">
        <v>220</v>
      </c>
      <c r="B48" s="167">
        <f>B38+B41+B42+B43</f>
        <v>71829.5</v>
      </c>
      <c r="C48" s="167">
        <f>C38+C41+C42+C43</f>
        <v>21548.85</v>
      </c>
      <c r="D48" s="167">
        <f>D38+D41+D42+D43</f>
        <v>62073.5</v>
      </c>
      <c r="E48" s="167">
        <f>E39+E41+E42+E44</f>
        <v>41645.97</v>
      </c>
      <c r="O48" s="190"/>
    </row>
    <row r="49" customHeight="1" spans="1:15">
      <c r="A49" s="171"/>
      <c r="B49" s="172"/>
      <c r="C49" s="172"/>
      <c r="D49" s="172"/>
      <c r="E49" s="172"/>
      <c r="O49" s="190"/>
    </row>
    <row r="50" customHeight="1" spans="15:15">
      <c r="O50" s="190"/>
    </row>
    <row r="51" customHeight="1" spans="15:15">
      <c r="O51" s="190"/>
    </row>
    <row r="52" customHeight="1" spans="15:15">
      <c r="O52" s="190"/>
    </row>
    <row r="53" customHeight="1" spans="15:15">
      <c r="O53" s="190"/>
    </row>
    <row r="54" customHeight="1" spans="15:15">
      <c r="O54" s="190"/>
    </row>
    <row r="55" customHeight="1" spans="15:15">
      <c r="O55" s="190"/>
    </row>
    <row r="56" customHeight="1" spans="15:15">
      <c r="O56" s="190"/>
    </row>
    <row r="57" customHeight="1" spans="15:15">
      <c r="O57" s="190"/>
    </row>
    <row r="58" customHeight="1" spans="15:15">
      <c r="O58" s="190"/>
    </row>
    <row r="59" customHeight="1" spans="15:15">
      <c r="O59" s="190"/>
    </row>
    <row r="60" customHeight="1" spans="15:15">
      <c r="O60" s="190"/>
    </row>
    <row r="61" customHeight="1" spans="15:15">
      <c r="O61" s="190"/>
    </row>
    <row r="62" customHeight="1" spans="15:15">
      <c r="O62" s="190"/>
    </row>
    <row r="63" customHeight="1" spans="15:15">
      <c r="O63" s="190"/>
    </row>
    <row r="64" customHeight="1" spans="15:15">
      <c r="O64" s="190"/>
    </row>
    <row r="65" customHeight="1" spans="15:15">
      <c r="O65" s="190"/>
    </row>
    <row r="66" customHeight="1" spans="15:15">
      <c r="O66" s="190"/>
    </row>
  </sheetData>
  <mergeCells count="7">
    <mergeCell ref="A1:R1"/>
    <mergeCell ref="A3:H3"/>
    <mergeCell ref="I3:R3"/>
    <mergeCell ref="A4:A5"/>
    <mergeCell ref="H4:H5"/>
    <mergeCell ref="I4:I5"/>
    <mergeCell ref="R4:R5"/>
  </mergeCells>
  <pageMargins left="0.708661417322835" right="0.708661417322835" top="0.748031496062992" bottom="0.748031496062992" header="0.31496062992126" footer="0.31496062992126"/>
  <pageSetup paperSize="8" scale="52" fitToHeight="0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499984740745262"/>
  </sheetPr>
  <dimension ref="A1:Y29"/>
  <sheetViews>
    <sheetView zoomScale="85" zoomScaleNormal="85" workbookViewId="0">
      <selection activeCell="F26" sqref="F26"/>
    </sheetView>
  </sheetViews>
  <sheetFormatPr defaultColWidth="9" defaultRowHeight="14.25"/>
  <cols>
    <col min="1" max="1" width="14.375" style="80" customWidth="1"/>
    <col min="2" max="5" width="11.75" style="80" customWidth="1"/>
    <col min="6" max="6" width="11.75" style="81" customWidth="1"/>
    <col min="7" max="13" width="11.75" style="80" customWidth="1"/>
    <col min="14" max="14" width="11.75" style="81" customWidth="1"/>
    <col min="15" max="25" width="11.75" style="80" customWidth="1"/>
    <col min="26" max="16384" width="9" style="80"/>
  </cols>
  <sheetData>
    <row r="1" ht="38.25" customHeight="1" spans="1:25">
      <c r="A1" s="82" t="s">
        <v>359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ht="16.5" customHeight="1" spans="1:25">
      <c r="A2" s="83"/>
      <c r="B2" s="84"/>
      <c r="C2" s="84"/>
      <c r="D2" s="84"/>
      <c r="E2" s="84"/>
      <c r="F2" s="85"/>
      <c r="G2" s="84"/>
      <c r="H2" s="84"/>
      <c r="I2" s="84"/>
      <c r="J2" s="84"/>
      <c r="K2" s="84"/>
      <c r="L2" s="84"/>
      <c r="M2" s="84"/>
      <c r="N2" s="85"/>
      <c r="O2" s="84"/>
      <c r="P2" s="84"/>
      <c r="Q2" s="84"/>
      <c r="R2" s="119"/>
      <c r="S2" s="119"/>
      <c r="T2" s="119"/>
      <c r="U2" s="119"/>
      <c r="V2" s="119"/>
      <c r="Y2" s="119" t="s">
        <v>2</v>
      </c>
    </row>
    <row r="3" s="77" customFormat="1" ht="18.75" spans="1:25">
      <c r="A3" s="86" t="s">
        <v>193</v>
      </c>
      <c r="B3" s="87" t="s">
        <v>220</v>
      </c>
      <c r="C3" s="88"/>
      <c r="D3" s="88"/>
      <c r="E3" s="88"/>
      <c r="F3" s="88"/>
      <c r="G3" s="88"/>
      <c r="H3" s="88"/>
      <c r="I3" s="113"/>
      <c r="J3" s="87" t="s">
        <v>360</v>
      </c>
      <c r="K3" s="88"/>
      <c r="L3" s="88"/>
      <c r="M3" s="88"/>
      <c r="N3" s="88"/>
      <c r="O3" s="88"/>
      <c r="P3" s="88"/>
      <c r="Q3" s="113"/>
      <c r="R3" s="120" t="s">
        <v>361</v>
      </c>
      <c r="S3" s="121"/>
      <c r="T3" s="121"/>
      <c r="U3" s="121"/>
      <c r="V3" s="121"/>
      <c r="W3" s="121"/>
      <c r="X3" s="121"/>
      <c r="Y3" s="122"/>
    </row>
    <row r="4" s="77" customFormat="1" ht="18" customHeight="1" spans="1:25">
      <c r="A4" s="89"/>
      <c r="B4" s="90" t="s">
        <v>362</v>
      </c>
      <c r="C4" s="91"/>
      <c r="D4" s="91"/>
      <c r="E4" s="92"/>
      <c r="F4" s="93" t="s">
        <v>363</v>
      </c>
      <c r="G4" s="91"/>
      <c r="H4" s="91"/>
      <c r="I4" s="114"/>
      <c r="J4" s="90" t="s">
        <v>362</v>
      </c>
      <c r="K4" s="91"/>
      <c r="L4" s="91"/>
      <c r="M4" s="92"/>
      <c r="N4" s="93" t="s">
        <v>363</v>
      </c>
      <c r="O4" s="91"/>
      <c r="P4" s="91"/>
      <c r="Q4" s="114"/>
      <c r="R4" s="90" t="s">
        <v>362</v>
      </c>
      <c r="S4" s="91"/>
      <c r="T4" s="91"/>
      <c r="U4" s="92"/>
      <c r="V4" s="93" t="s">
        <v>363</v>
      </c>
      <c r="W4" s="91"/>
      <c r="X4" s="91"/>
      <c r="Y4" s="114"/>
    </row>
    <row r="5" s="77" customFormat="1" ht="48.75" customHeight="1" spans="1:25">
      <c r="A5" s="94"/>
      <c r="B5" s="95" t="s">
        <v>364</v>
      </c>
      <c r="C5" s="96" t="s">
        <v>365</v>
      </c>
      <c r="D5" s="96" t="s">
        <v>366</v>
      </c>
      <c r="E5" s="96" t="s">
        <v>367</v>
      </c>
      <c r="F5" s="96" t="s">
        <v>364</v>
      </c>
      <c r="G5" s="96" t="s">
        <v>365</v>
      </c>
      <c r="H5" s="96" t="s">
        <v>366</v>
      </c>
      <c r="I5" s="115" t="s">
        <v>367</v>
      </c>
      <c r="J5" s="95" t="s">
        <v>364</v>
      </c>
      <c r="K5" s="96" t="s">
        <v>365</v>
      </c>
      <c r="L5" s="96" t="s">
        <v>366</v>
      </c>
      <c r="M5" s="96" t="s">
        <v>367</v>
      </c>
      <c r="N5" s="96" t="s">
        <v>364</v>
      </c>
      <c r="O5" s="96" t="s">
        <v>365</v>
      </c>
      <c r="P5" s="96" t="s">
        <v>366</v>
      </c>
      <c r="Q5" s="115" t="s">
        <v>367</v>
      </c>
      <c r="R5" s="95" t="s">
        <v>364</v>
      </c>
      <c r="S5" s="96" t="s">
        <v>365</v>
      </c>
      <c r="T5" s="96" t="s">
        <v>366</v>
      </c>
      <c r="U5" s="96" t="s">
        <v>367</v>
      </c>
      <c r="V5" s="96" t="s">
        <v>364</v>
      </c>
      <c r="W5" s="96" t="s">
        <v>365</v>
      </c>
      <c r="X5" s="96" t="s">
        <v>366</v>
      </c>
      <c r="Y5" s="115" t="s">
        <v>367</v>
      </c>
    </row>
    <row r="6" s="78" customFormat="1" ht="39.75" customHeight="1" spans="1:25">
      <c r="A6" s="97" t="s">
        <v>368</v>
      </c>
      <c r="B6" s="98">
        <f>SUM(B7:B17)</f>
        <v>220770.214656369</v>
      </c>
      <c r="C6" s="99">
        <f>SUM(C7:C17)</f>
        <v>251951.215</v>
      </c>
      <c r="D6" s="99">
        <f>SUM(D7:D17)</f>
        <v>253965.82472</v>
      </c>
      <c r="E6" s="100">
        <f>(D6-B6)/B6</f>
        <v>0.150362720420868</v>
      </c>
      <c r="F6" s="99">
        <f>SUM(F7:F17)</f>
        <v>629515.200952</v>
      </c>
      <c r="G6" s="99">
        <f>SUM(G7:G17)</f>
        <v>651050</v>
      </c>
      <c r="H6" s="99">
        <f>SUM(H7:H17)</f>
        <v>690556.852289586</v>
      </c>
      <c r="I6" s="116">
        <f>(H6-F6)/F6</f>
        <v>0.0969661276570837</v>
      </c>
      <c r="J6" s="98">
        <f>SUM(J7:J17)</f>
        <v>115977</v>
      </c>
      <c r="K6" s="99">
        <f>SUM(K7:K17)</f>
        <v>151652</v>
      </c>
      <c r="L6" s="99">
        <f>SUM(L7:L17)</f>
        <v>160902.772</v>
      </c>
      <c r="M6" s="100">
        <f>(L6-J6)/J6</f>
        <v>0.387367943643999</v>
      </c>
      <c r="N6" s="99">
        <f>SUM(N7:N17)</f>
        <v>407112</v>
      </c>
      <c r="O6" s="99">
        <f>SUM(O7:O17)</f>
        <v>440380</v>
      </c>
      <c r="P6" s="99">
        <f>SUM(P7:P17)</f>
        <v>467242.877289586</v>
      </c>
      <c r="Q6" s="116">
        <f>(P6-N6)/N6</f>
        <v>0.147701068230822</v>
      </c>
      <c r="R6" s="98">
        <f>SUM(R7:R17)</f>
        <v>104793.214656369</v>
      </c>
      <c r="S6" s="99">
        <f>SUM(S7:S17)</f>
        <v>100299.215</v>
      </c>
      <c r="T6" s="99">
        <f>SUM(T7:T17)</f>
        <v>106417.467115</v>
      </c>
      <c r="U6" s="100">
        <f>(T6-R6)/R6</f>
        <v>0.0154995956938315</v>
      </c>
      <c r="V6" s="99">
        <f>SUM(V7:V17)</f>
        <v>222403.200952</v>
      </c>
      <c r="W6" s="99">
        <f>SUM(W7:W17)</f>
        <v>210670</v>
      </c>
      <c r="X6" s="99">
        <f>SUM(X7:X17)</f>
        <v>223313.975</v>
      </c>
      <c r="Y6" s="116">
        <f>(X6-V6)/V6</f>
        <v>0.00409514810983557</v>
      </c>
    </row>
    <row r="7" s="79" customFormat="1" ht="27" customHeight="1" spans="1:25">
      <c r="A7" s="101" t="s">
        <v>369</v>
      </c>
      <c r="B7" s="102">
        <f>J7+R7</f>
        <v>105459.785791688</v>
      </c>
      <c r="C7" s="103">
        <f>K7+S7</f>
        <v>140550.5</v>
      </c>
      <c r="D7" s="103">
        <v>141674.904</v>
      </c>
      <c r="E7" s="104">
        <f>(D7-B7)/B7</f>
        <v>0.343402159756391</v>
      </c>
      <c r="F7" s="103">
        <f>N7+V7</f>
        <v>369814.460176</v>
      </c>
      <c r="G7" s="103">
        <f>O7+W7</f>
        <v>401000</v>
      </c>
      <c r="H7" s="103">
        <f>P7+X7</f>
        <v>425461</v>
      </c>
      <c r="I7" s="117">
        <f>(H7-F7)/F7</f>
        <v>0.150471508868304</v>
      </c>
      <c r="J7" s="102">
        <f>128127-23000</f>
        <v>105127</v>
      </c>
      <c r="K7" s="103">
        <v>140200</v>
      </c>
      <c r="L7" s="103">
        <f>148752.2</f>
        <v>148752.2</v>
      </c>
      <c r="M7" s="104">
        <f>(L7-J7)/J7</f>
        <v>0.414976171678066</v>
      </c>
      <c r="N7" s="103">
        <v>368865</v>
      </c>
      <c r="O7" s="103">
        <v>400000</v>
      </c>
      <c r="P7" s="103">
        <v>424400</v>
      </c>
      <c r="Q7" s="117">
        <f>(P7-N7)/N7</f>
        <v>0.15055643663671</v>
      </c>
      <c r="R7" s="102">
        <v>332.785791688</v>
      </c>
      <c r="S7" s="103">
        <v>350.5</v>
      </c>
      <c r="T7" s="103">
        <v>371.8805</v>
      </c>
      <c r="U7" s="104">
        <f>(T7-R7)/R7</f>
        <v>0.117477095742876</v>
      </c>
      <c r="V7" s="103">
        <v>949.460176</v>
      </c>
      <c r="W7" s="103">
        <v>1000</v>
      </c>
      <c r="X7" s="103">
        <v>1061</v>
      </c>
      <c r="Y7" s="117">
        <f>(X7-V7)/V7</f>
        <v>0.117477095742876</v>
      </c>
    </row>
    <row r="8" s="79" customFormat="1" ht="27" customHeight="1" spans="1:25">
      <c r="A8" s="101" t="s">
        <v>370</v>
      </c>
      <c r="B8" s="102">
        <f t="shared" ref="B8:B16" si="0">J8+R8</f>
        <v>309.958551765</v>
      </c>
      <c r="C8" s="103">
        <f t="shared" ref="C8:C16" si="1">K8+S8</f>
        <v>122.675</v>
      </c>
      <c r="D8" s="103">
        <v>122.6564</v>
      </c>
      <c r="E8" s="104">
        <f t="shared" ref="E8:E16" si="2">(D8-B8)/B8</f>
        <v>-0.604281284379616</v>
      </c>
      <c r="F8" s="103">
        <f t="shared" ref="F8:F17" si="3">N8+V8</f>
        <v>884.33253</v>
      </c>
      <c r="G8" s="103">
        <f t="shared" ref="G8:G17" si="4">O8+W8</f>
        <v>350</v>
      </c>
      <c r="H8" s="103">
        <f t="shared" ref="H8:H16" si="5">P8+X8</f>
        <v>185.675</v>
      </c>
      <c r="I8" s="117">
        <f t="shared" ref="I8:I17" si="6">(H8-F8)/F8</f>
        <v>-0.790039387107019</v>
      </c>
      <c r="J8" s="102"/>
      <c r="K8" s="103"/>
      <c r="L8" s="103"/>
      <c r="M8" s="104"/>
      <c r="N8" s="103"/>
      <c r="O8" s="103"/>
      <c r="P8" s="103"/>
      <c r="Q8" s="117"/>
      <c r="R8" s="102">
        <v>309.958551765</v>
      </c>
      <c r="S8" s="103">
        <v>122.675</v>
      </c>
      <c r="T8" s="103">
        <v>130.158175</v>
      </c>
      <c r="U8" s="104">
        <f t="shared" ref="U8:U16" si="7">(T8-R8)/R8</f>
        <v>-0.580078774214039</v>
      </c>
      <c r="V8" s="103">
        <v>884.33253</v>
      </c>
      <c r="W8" s="103">
        <v>350</v>
      </c>
      <c r="X8" s="103">
        <v>185.675</v>
      </c>
      <c r="Y8" s="117">
        <f t="shared" ref="Y8:Y17" si="8">(X8-V8)/V8</f>
        <v>-0.790039387107019</v>
      </c>
    </row>
    <row r="9" s="79" customFormat="1" ht="27" customHeight="1" spans="1:25">
      <c r="A9" s="101" t="s">
        <v>371</v>
      </c>
      <c r="B9" s="102">
        <f t="shared" si="0"/>
        <v>39866.8163478564</v>
      </c>
      <c r="C9" s="103">
        <f t="shared" si="1"/>
        <v>37293.2</v>
      </c>
      <c r="D9" s="103">
        <v>37591.5456</v>
      </c>
      <c r="E9" s="104">
        <f t="shared" si="2"/>
        <v>-0.0570717944468805</v>
      </c>
      <c r="F9" s="103">
        <f t="shared" si="3"/>
        <v>142181.210941</v>
      </c>
      <c r="G9" s="103">
        <f t="shared" si="4"/>
        <v>133000</v>
      </c>
      <c r="H9" s="103">
        <f t="shared" si="5"/>
        <v>141113</v>
      </c>
      <c r="I9" s="117">
        <f t="shared" si="6"/>
        <v>-0.00751302463898177</v>
      </c>
      <c r="J9" s="102">
        <v>10623</v>
      </c>
      <c r="K9" s="103">
        <v>11216</v>
      </c>
      <c r="L9" s="103">
        <f>11900.176</f>
        <v>11900.176</v>
      </c>
      <c r="M9" s="104">
        <f>(L9-J9)/J9</f>
        <v>0.120227431045844</v>
      </c>
      <c r="N9" s="103">
        <v>37888</v>
      </c>
      <c r="O9" s="103">
        <v>40000</v>
      </c>
      <c r="P9" s="103">
        <v>42440</v>
      </c>
      <c r="Q9" s="117">
        <f>(P9-N9)/N9</f>
        <v>0.120143581081081</v>
      </c>
      <c r="R9" s="102">
        <f>29243.8163478564</f>
        <v>29243.8163478564</v>
      </c>
      <c r="S9" s="103">
        <v>26077.2</v>
      </c>
      <c r="T9" s="103">
        <v>27667.9092</v>
      </c>
      <c r="U9" s="104">
        <f t="shared" si="7"/>
        <v>-0.0538885598620549</v>
      </c>
      <c r="V9" s="103">
        <v>104293.210941</v>
      </c>
      <c r="W9" s="103">
        <v>93000</v>
      </c>
      <c r="X9" s="103">
        <v>98673</v>
      </c>
      <c r="Y9" s="117">
        <f t="shared" si="8"/>
        <v>-0.0538885598620549</v>
      </c>
    </row>
    <row r="10" s="79" customFormat="1" ht="27" customHeight="1" spans="1:25">
      <c r="A10" s="101" t="s">
        <v>372</v>
      </c>
      <c r="B10" s="102">
        <f t="shared" si="0"/>
        <v>10611.19401925</v>
      </c>
      <c r="C10" s="103">
        <f t="shared" si="1"/>
        <v>11440.24</v>
      </c>
      <c r="D10" s="103">
        <v>11531.76192</v>
      </c>
      <c r="E10" s="104">
        <f t="shared" si="2"/>
        <v>0.0867544122819711</v>
      </c>
      <c r="F10" s="103">
        <f t="shared" si="3"/>
        <v>37841.610625</v>
      </c>
      <c r="G10" s="103">
        <f t="shared" si="4"/>
        <v>40800</v>
      </c>
      <c r="H10" s="103">
        <f t="shared" si="5"/>
        <v>43288.4972895863</v>
      </c>
      <c r="I10" s="117">
        <f t="shared" si="6"/>
        <v>0.143939081202527</v>
      </c>
      <c r="J10" s="102">
        <v>52</v>
      </c>
      <c r="K10" s="103">
        <v>56</v>
      </c>
      <c r="L10" s="103">
        <v>59.416</v>
      </c>
      <c r="M10" s="104">
        <f>(L10-J10)/J10</f>
        <v>0.142615384615385</v>
      </c>
      <c r="N10" s="103">
        <v>184</v>
      </c>
      <c r="O10" s="103">
        <v>200</v>
      </c>
      <c r="P10" s="103">
        <v>211.897289586305</v>
      </c>
      <c r="Q10" s="117">
        <f>(P10-N10)/N10</f>
        <v>0.151615704273397</v>
      </c>
      <c r="R10" s="102">
        <v>10559.19401925</v>
      </c>
      <c r="S10" s="103">
        <v>11384.24</v>
      </c>
      <c r="T10" s="103">
        <v>12078.67864</v>
      </c>
      <c r="U10" s="104">
        <f t="shared" si="7"/>
        <v>0.14390157222037</v>
      </c>
      <c r="V10" s="103">
        <v>37657.610625</v>
      </c>
      <c r="W10" s="103">
        <v>40600</v>
      </c>
      <c r="X10" s="103">
        <v>43076.6</v>
      </c>
      <c r="Y10" s="117">
        <f t="shared" si="8"/>
        <v>0.14390157222037</v>
      </c>
    </row>
    <row r="11" s="79" customFormat="1" ht="27" customHeight="1" spans="1:25">
      <c r="A11" s="101" t="s">
        <v>373</v>
      </c>
      <c r="B11" s="102">
        <f t="shared" si="0"/>
        <v>25875.877756</v>
      </c>
      <c r="C11" s="103">
        <f t="shared" si="1"/>
        <v>25980</v>
      </c>
      <c r="D11" s="103">
        <v>26187.84</v>
      </c>
      <c r="E11" s="104">
        <f t="shared" si="2"/>
        <v>0.0120561028669902</v>
      </c>
      <c r="F11" s="103">
        <f t="shared" si="3"/>
        <v>25875.877756</v>
      </c>
      <c r="G11" s="103">
        <f t="shared" si="4"/>
        <v>25980</v>
      </c>
      <c r="H11" s="103">
        <f t="shared" si="5"/>
        <v>27564.78</v>
      </c>
      <c r="I11" s="117">
        <f t="shared" si="6"/>
        <v>0.065269370180433</v>
      </c>
      <c r="J11" s="102">
        <v>175</v>
      </c>
      <c r="K11" s="103">
        <v>180</v>
      </c>
      <c r="L11" s="103">
        <v>190.98</v>
      </c>
      <c r="M11" s="104">
        <f>(L11-J11)/J11</f>
        <v>0.0913142857142857</v>
      </c>
      <c r="N11" s="103">
        <v>175</v>
      </c>
      <c r="O11" s="103">
        <v>180</v>
      </c>
      <c r="P11" s="103">
        <v>190.98</v>
      </c>
      <c r="Q11" s="117">
        <f>(P11-N11)/N11</f>
        <v>0.0913142857142857</v>
      </c>
      <c r="R11" s="102">
        <v>25700.877756</v>
      </c>
      <c r="S11" s="103">
        <v>25800</v>
      </c>
      <c r="T11" s="103">
        <v>27373.8</v>
      </c>
      <c r="U11" s="104">
        <f t="shared" si="7"/>
        <v>0.0650920275907482</v>
      </c>
      <c r="V11" s="103">
        <v>25700.877756</v>
      </c>
      <c r="W11" s="103">
        <v>25800</v>
      </c>
      <c r="X11" s="103">
        <v>27373.8</v>
      </c>
      <c r="Y11" s="117">
        <f t="shared" si="8"/>
        <v>0.0650920275907482</v>
      </c>
    </row>
    <row r="12" s="79" customFormat="1" ht="27" customHeight="1" spans="1:25">
      <c r="A12" s="101" t="s">
        <v>374</v>
      </c>
      <c r="B12" s="102">
        <f t="shared" si="0"/>
        <v>6163.743274111</v>
      </c>
      <c r="C12" s="103">
        <f t="shared" si="1"/>
        <v>6168.8</v>
      </c>
      <c r="D12" s="103">
        <v>6218.1504</v>
      </c>
      <c r="E12" s="104">
        <f t="shared" si="2"/>
        <v>0.00882696171294512</v>
      </c>
      <c r="F12" s="103">
        <f t="shared" si="3"/>
        <v>8792.786411</v>
      </c>
      <c r="G12" s="103">
        <f t="shared" si="4"/>
        <v>8800</v>
      </c>
      <c r="H12" s="103">
        <f t="shared" si="5"/>
        <v>9336.8</v>
      </c>
      <c r="I12" s="117">
        <f t="shared" si="6"/>
        <v>0.0618704428347566</v>
      </c>
      <c r="J12" s="102"/>
      <c r="K12" s="103"/>
      <c r="L12" s="103"/>
      <c r="M12" s="104"/>
      <c r="N12" s="103"/>
      <c r="O12" s="103"/>
      <c r="P12" s="103"/>
      <c r="Q12" s="117"/>
      <c r="R12" s="102">
        <v>6163.743274111</v>
      </c>
      <c r="S12" s="103">
        <v>6168.8</v>
      </c>
      <c r="T12" s="103">
        <v>6545.0968</v>
      </c>
      <c r="U12" s="104">
        <f t="shared" si="7"/>
        <v>0.0618704428347567</v>
      </c>
      <c r="V12" s="103">
        <v>8792.786411</v>
      </c>
      <c r="W12" s="103">
        <v>8800</v>
      </c>
      <c r="X12" s="103">
        <v>9336.8</v>
      </c>
      <c r="Y12" s="117">
        <f t="shared" si="8"/>
        <v>0.0618704428347566</v>
      </c>
    </row>
    <row r="13" s="79" customFormat="1" ht="27" customHeight="1" spans="1:25">
      <c r="A13" s="101" t="s">
        <v>375</v>
      </c>
      <c r="B13" s="102">
        <f t="shared" si="0"/>
        <v>3594.311146</v>
      </c>
      <c r="C13" s="103">
        <f t="shared" si="1"/>
        <v>3600</v>
      </c>
      <c r="D13" s="103">
        <v>3628.8</v>
      </c>
      <c r="E13" s="104">
        <f t="shared" si="2"/>
        <v>0.00959540023082915</v>
      </c>
      <c r="F13" s="103">
        <f t="shared" si="3"/>
        <v>3594.311146</v>
      </c>
      <c r="G13" s="103">
        <f t="shared" si="4"/>
        <v>3600</v>
      </c>
      <c r="H13" s="103">
        <f t="shared" si="5"/>
        <v>3819.6</v>
      </c>
      <c r="I13" s="117">
        <f t="shared" si="6"/>
        <v>0.0626792853620135</v>
      </c>
      <c r="J13" s="102"/>
      <c r="K13" s="103"/>
      <c r="L13" s="103"/>
      <c r="M13" s="104"/>
      <c r="N13" s="103"/>
      <c r="O13" s="103"/>
      <c r="P13" s="103"/>
      <c r="Q13" s="117"/>
      <c r="R13" s="102">
        <v>3594.311146</v>
      </c>
      <c r="S13" s="103">
        <v>3600</v>
      </c>
      <c r="T13" s="103">
        <v>3819.6</v>
      </c>
      <c r="U13" s="104">
        <f t="shared" si="7"/>
        <v>0.0626792853620135</v>
      </c>
      <c r="V13" s="103">
        <v>3594.311146</v>
      </c>
      <c r="W13" s="103">
        <v>3600</v>
      </c>
      <c r="X13" s="103">
        <v>3819.6</v>
      </c>
      <c r="Y13" s="117">
        <f t="shared" si="8"/>
        <v>0.0626792853620135</v>
      </c>
    </row>
    <row r="14" s="79" customFormat="1" ht="27" customHeight="1" spans="1:25">
      <c r="A14" s="101" t="s">
        <v>376</v>
      </c>
      <c r="B14" s="102">
        <f t="shared" si="0"/>
        <v>1652.488968</v>
      </c>
      <c r="C14" s="103">
        <f t="shared" si="1"/>
        <v>1700</v>
      </c>
      <c r="D14" s="103">
        <v>1713.6</v>
      </c>
      <c r="E14" s="104">
        <f t="shared" si="2"/>
        <v>0.0369812042218728</v>
      </c>
      <c r="F14" s="103">
        <f t="shared" si="3"/>
        <v>1652.488968</v>
      </c>
      <c r="G14" s="103">
        <f t="shared" si="4"/>
        <v>1700</v>
      </c>
      <c r="H14" s="103">
        <f t="shared" si="5"/>
        <v>1803.7</v>
      </c>
      <c r="I14" s="117">
        <f t="shared" si="6"/>
        <v>0.0915050175390943</v>
      </c>
      <c r="J14" s="102"/>
      <c r="K14" s="103"/>
      <c r="L14" s="103"/>
      <c r="M14" s="104"/>
      <c r="N14" s="103"/>
      <c r="O14" s="103"/>
      <c r="P14" s="103"/>
      <c r="Q14" s="117"/>
      <c r="R14" s="102">
        <v>1652.488968</v>
      </c>
      <c r="S14" s="103">
        <v>1700</v>
      </c>
      <c r="T14" s="103">
        <v>1803.7</v>
      </c>
      <c r="U14" s="104">
        <f t="shared" si="7"/>
        <v>0.0915050175390943</v>
      </c>
      <c r="V14" s="103">
        <v>1652.488968</v>
      </c>
      <c r="W14" s="103">
        <v>1700</v>
      </c>
      <c r="X14" s="103">
        <v>1803.7</v>
      </c>
      <c r="Y14" s="117">
        <f t="shared" si="8"/>
        <v>0.0915050175390943</v>
      </c>
    </row>
    <row r="15" s="79" customFormat="1" ht="27" customHeight="1" spans="1:25">
      <c r="A15" s="101" t="s">
        <v>377</v>
      </c>
      <c r="B15" s="102">
        <f t="shared" si="0"/>
        <v>11860.881032111</v>
      </c>
      <c r="C15" s="103">
        <f t="shared" si="1"/>
        <v>15422</v>
      </c>
      <c r="D15" s="103">
        <v>15545.376</v>
      </c>
      <c r="E15" s="104">
        <f t="shared" si="2"/>
        <v>0.31064260386003</v>
      </c>
      <c r="F15" s="103">
        <f t="shared" si="3"/>
        <v>16919.944411</v>
      </c>
      <c r="G15" s="103">
        <f t="shared" si="4"/>
        <v>22000</v>
      </c>
      <c r="H15" s="103">
        <f t="shared" si="5"/>
        <v>23342</v>
      </c>
      <c r="I15" s="117">
        <f t="shared" si="6"/>
        <v>0.379555359816956</v>
      </c>
      <c r="J15" s="102"/>
      <c r="K15" s="103"/>
      <c r="L15" s="103"/>
      <c r="M15" s="104"/>
      <c r="N15" s="103"/>
      <c r="O15" s="103"/>
      <c r="P15" s="103"/>
      <c r="Q15" s="117"/>
      <c r="R15" s="102">
        <v>11860.881032111</v>
      </c>
      <c r="S15" s="103">
        <v>15422</v>
      </c>
      <c r="T15" s="103">
        <v>16362.742</v>
      </c>
      <c r="U15" s="104">
        <f t="shared" si="7"/>
        <v>0.379555359816956</v>
      </c>
      <c r="V15" s="103">
        <v>16919.944411</v>
      </c>
      <c r="W15" s="103">
        <v>22000</v>
      </c>
      <c r="X15" s="103">
        <v>23342</v>
      </c>
      <c r="Y15" s="117">
        <f t="shared" si="8"/>
        <v>0.379555359816956</v>
      </c>
    </row>
    <row r="16" s="79" customFormat="1" ht="27" customHeight="1" spans="1:25">
      <c r="A16" s="101" t="s">
        <v>378</v>
      </c>
      <c r="B16" s="102">
        <f t="shared" si="0"/>
        <v>15375.157769588</v>
      </c>
      <c r="C16" s="103">
        <f t="shared" si="1"/>
        <v>9673.8</v>
      </c>
      <c r="D16" s="103">
        <v>9751.1904</v>
      </c>
      <c r="E16" s="104">
        <f t="shared" si="2"/>
        <v>-0.365782742126535</v>
      </c>
      <c r="F16" s="103">
        <f t="shared" si="3"/>
        <v>21933.177988</v>
      </c>
      <c r="G16" s="103">
        <f t="shared" si="4"/>
        <v>13800</v>
      </c>
      <c r="H16" s="103">
        <f t="shared" si="5"/>
        <v>14641.8</v>
      </c>
      <c r="I16" s="117">
        <f t="shared" si="6"/>
        <v>-0.332436001385172</v>
      </c>
      <c r="J16" s="102"/>
      <c r="K16" s="103"/>
      <c r="L16" s="103"/>
      <c r="M16" s="104"/>
      <c r="N16" s="103"/>
      <c r="O16" s="103"/>
      <c r="P16" s="103"/>
      <c r="Q16" s="117"/>
      <c r="R16" s="102">
        <v>15375.157769588</v>
      </c>
      <c r="S16" s="103">
        <v>9673.8</v>
      </c>
      <c r="T16" s="103">
        <v>10263.9018</v>
      </c>
      <c r="U16" s="104">
        <f t="shared" si="7"/>
        <v>-0.332436001385172</v>
      </c>
      <c r="V16" s="103">
        <v>21933.177988</v>
      </c>
      <c r="W16" s="103">
        <v>13800</v>
      </c>
      <c r="X16" s="103">
        <v>14641.8</v>
      </c>
      <c r="Y16" s="117">
        <f t="shared" si="8"/>
        <v>-0.332436001385172</v>
      </c>
    </row>
    <row r="17" s="79" customFormat="1" ht="27" customHeight="1" spans="1:25">
      <c r="A17" s="105" t="s">
        <v>379</v>
      </c>
      <c r="B17" s="106"/>
      <c r="C17" s="107"/>
      <c r="D17" s="107"/>
      <c r="E17" s="108"/>
      <c r="F17" s="107">
        <f t="shared" si="3"/>
        <v>25</v>
      </c>
      <c r="G17" s="107">
        <f t="shared" si="4"/>
        <v>20</v>
      </c>
      <c r="H17" s="107"/>
      <c r="I17" s="118">
        <f t="shared" si="6"/>
        <v>-1</v>
      </c>
      <c r="J17" s="106"/>
      <c r="K17" s="107"/>
      <c r="L17" s="107"/>
      <c r="M17" s="108"/>
      <c r="N17" s="107"/>
      <c r="O17" s="107"/>
      <c r="P17" s="107"/>
      <c r="Q17" s="118"/>
      <c r="R17" s="106">
        <v>0</v>
      </c>
      <c r="S17" s="107">
        <v>0</v>
      </c>
      <c r="T17" s="107"/>
      <c r="U17" s="108"/>
      <c r="V17" s="107">
        <v>25</v>
      </c>
      <c r="W17" s="107">
        <v>20</v>
      </c>
      <c r="X17" s="107"/>
      <c r="Y17" s="118">
        <f t="shared" si="8"/>
        <v>-1</v>
      </c>
    </row>
    <row r="18" spans="2:17">
      <c r="B18" s="109"/>
      <c r="C18" s="109"/>
      <c r="D18" s="109"/>
      <c r="E18" s="109"/>
      <c r="F18" s="110"/>
      <c r="G18" s="111"/>
      <c r="H18" s="111"/>
      <c r="I18" s="111"/>
      <c r="J18" s="109"/>
      <c r="K18" s="109"/>
      <c r="L18" s="109"/>
      <c r="M18" s="109"/>
      <c r="N18" s="110"/>
      <c r="O18" s="111"/>
      <c r="P18" s="111"/>
      <c r="Q18" s="111"/>
    </row>
    <row r="20" spans="4:5">
      <c r="D20" s="80">
        <v>141674.904</v>
      </c>
      <c r="E20" s="112">
        <f>D20-C7</f>
        <v>1124.40400000001</v>
      </c>
    </row>
    <row r="21" spans="4:5">
      <c r="D21" s="80">
        <v>123.6564</v>
      </c>
      <c r="E21" s="112">
        <f t="shared" ref="E21:E29" si="9">D21-C8</f>
        <v>0.981400000000008</v>
      </c>
    </row>
    <row r="22" spans="4:5">
      <c r="D22" s="80">
        <v>37591.5456</v>
      </c>
      <c r="E22" s="112">
        <f t="shared" si="9"/>
        <v>298.345600000001</v>
      </c>
    </row>
    <row r="23" spans="4:5">
      <c r="D23" s="80">
        <v>11531.76192</v>
      </c>
      <c r="E23" s="112">
        <f t="shared" si="9"/>
        <v>91.521920000001</v>
      </c>
    </row>
    <row r="24" spans="4:5">
      <c r="D24" s="80">
        <v>26187.84</v>
      </c>
      <c r="E24" s="112">
        <f t="shared" si="9"/>
        <v>207.84</v>
      </c>
    </row>
    <row r="25" spans="4:5">
      <c r="D25" s="80">
        <v>6218.1504</v>
      </c>
      <c r="E25" s="112">
        <f t="shared" si="9"/>
        <v>49.3504000000003</v>
      </c>
    </row>
    <row r="26" spans="4:5">
      <c r="D26" s="80">
        <v>3628.8</v>
      </c>
      <c r="E26" s="112">
        <f t="shared" si="9"/>
        <v>28.8000000000002</v>
      </c>
    </row>
    <row r="27" spans="4:5">
      <c r="D27" s="80">
        <v>1713.6</v>
      </c>
      <c r="E27" s="112">
        <f t="shared" si="9"/>
        <v>13.5999999999999</v>
      </c>
    </row>
    <row r="28" spans="4:5">
      <c r="D28" s="80">
        <v>15545.376</v>
      </c>
      <c r="E28" s="112">
        <f t="shared" si="9"/>
        <v>123.376</v>
      </c>
    </row>
    <row r="29" spans="4:5">
      <c r="D29" s="80">
        <v>9751.1904</v>
      </c>
      <c r="E29" s="112">
        <f t="shared" si="9"/>
        <v>77.3904000000002</v>
      </c>
    </row>
  </sheetData>
  <mergeCells count="11">
    <mergeCell ref="A1:Y1"/>
    <mergeCell ref="B3:I3"/>
    <mergeCell ref="J3:Q3"/>
    <mergeCell ref="R3:Y3"/>
    <mergeCell ref="B4:E4"/>
    <mergeCell ref="F4:I4"/>
    <mergeCell ref="J4:M4"/>
    <mergeCell ref="N4:Q4"/>
    <mergeCell ref="R4:U4"/>
    <mergeCell ref="V4:Y4"/>
    <mergeCell ref="A3:A5"/>
  </mergeCells>
  <pageMargins left="0.2" right="0.2" top="1.18110236220472" bottom="0.748031496062992" header="0.31496062992126" footer="0.31496062992126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Macro1</vt:lpstr>
      <vt:lpstr>YSHVOKK</vt:lpstr>
      <vt:lpstr>附件3 收入（部分锁定）</vt:lpstr>
      <vt:lpstr>附件1-2 分部门收入（锁定工作表）</vt:lpstr>
      <vt:lpstr>预算稳定调节基金计算 (2)</vt:lpstr>
      <vt:lpstr>税收预计情况（税收数据从此表引入）</vt:lpstr>
      <vt:lpstr>附件2基金收支（锁定）</vt:lpstr>
      <vt:lpstr>2020年政府性基金预计情况</vt:lpstr>
      <vt:lpstr>税收预测情况 </vt:lpstr>
      <vt:lpstr>2019年土地出让分成收支预计完成情况表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凯瑞</cp:lastModifiedBy>
  <cp:revision>1</cp:revision>
  <dcterms:created xsi:type="dcterms:W3CDTF">1996-12-17T01:32:00Z</dcterms:created>
  <cp:lastPrinted>2020-02-23T02:37:00Z</cp:lastPrinted>
  <dcterms:modified xsi:type="dcterms:W3CDTF">2020-11-03T08:01:09Z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